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856"/>
  </bookViews>
  <sheets>
    <sheet name="Instructions" sheetId="5" r:id="rId1"/>
    <sheet name="Fleet Data Entry" sheetId="2" r:id="rId2"/>
    <sheet name="Facility Data Entry" sheetId="3" r:id="rId3"/>
    <sheet name="Bus Parking Scenarios" sheetId="6" r:id="rId4"/>
    <sheet name="Macro Program Summary" sheetId="4" r:id="rId5"/>
    <sheet name="Budget Worksheet" sheetId="1" r:id="rId6"/>
    <sheet name="List Data" sheetId="7" r:id="rId7"/>
  </sheets>
  <definedNames>
    <definedName name="_xlnm.Print_Area" localSheetId="5">'Budget Worksheet'!$A$1:$N$53</definedName>
    <definedName name="_xlnm.Print_Area" localSheetId="4">'Macro Program Summary'!$A$1:$G$42</definedName>
    <definedName name="_xlnm.Print_Titles" localSheetId="2">'Facility Data Entry'!$1:$5</definedName>
    <definedName name="_xlnm.Print_Titles" localSheetId="4">'Macro Program Summary'!$1:$4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4"/>
  <c r="F66" i="3" l="1"/>
  <c r="F157" i="3" l="1"/>
  <c r="E157" i="3" s="1"/>
  <c r="F159" i="3"/>
  <c r="E159" i="3" s="1"/>
  <c r="B11" i="1"/>
  <c r="F10" i="6" l="1"/>
  <c r="A10" i="6"/>
  <c r="C22" i="6"/>
  <c r="C20" i="6"/>
  <c r="C18" i="6"/>
  <c r="C16" i="6"/>
  <c r="C14" i="6"/>
  <c r="F12" i="6"/>
  <c r="B23" i="1" l="1"/>
  <c r="B20" i="1"/>
  <c r="B19" i="1"/>
  <c r="B33" i="4"/>
  <c r="B31" i="4"/>
  <c r="B29" i="4"/>
  <c r="F173" i="3"/>
  <c r="F167" i="3"/>
  <c r="C175" i="3"/>
  <c r="C173" i="3"/>
  <c r="C171" i="3"/>
  <c r="C169" i="3"/>
  <c r="C167" i="3"/>
  <c r="B13" i="4"/>
  <c r="B18" i="1" s="1"/>
  <c r="B11" i="4"/>
  <c r="B17" i="1" s="1"/>
  <c r="B9" i="4"/>
  <c r="B16" i="1" s="1"/>
  <c r="B7" i="4"/>
  <c r="B15" i="1" s="1"/>
  <c r="E70" i="3"/>
  <c r="E171" i="3" l="1"/>
  <c r="E175" i="3"/>
  <c r="E169" i="3"/>
  <c r="E173" i="3"/>
  <c r="E167" i="3"/>
  <c r="D173" i="3"/>
  <c r="D167" i="3"/>
  <c r="E177" i="3" l="1"/>
  <c r="E20" i="6"/>
  <c r="E22" i="6"/>
  <c r="E18" i="6"/>
  <c r="E16" i="6"/>
  <c r="F17" i="4" l="1"/>
  <c r="F16" i="6"/>
  <c r="F18" i="6"/>
  <c r="F22" i="6"/>
  <c r="F20" i="6"/>
  <c r="E20" i="1" l="1"/>
  <c r="F115" i="3"/>
  <c r="C137" i="3"/>
  <c r="E137" i="3" s="1"/>
  <c r="C135" i="3"/>
  <c r="E135" i="3" s="1"/>
  <c r="C129" i="3"/>
  <c r="E129" i="3" s="1"/>
  <c r="C127" i="3"/>
  <c r="E127" i="3" s="1"/>
  <c r="C125" i="3"/>
  <c r="C123" i="3"/>
  <c r="E123" i="3" s="1"/>
  <c r="C117" i="3"/>
  <c r="F121" i="3"/>
  <c r="F119" i="3"/>
  <c r="C119" i="3"/>
  <c r="F117" i="3"/>
  <c r="F111" i="3"/>
  <c r="C115" i="3"/>
  <c r="C198" i="3"/>
  <c r="C196" i="3"/>
  <c r="F186" i="3"/>
  <c r="F188" i="3" s="1"/>
  <c r="F184" i="3"/>
  <c r="C188" i="3"/>
  <c r="C184" i="3"/>
  <c r="C186" i="3"/>
  <c r="E27" i="1" l="1"/>
  <c r="G20" i="1"/>
  <c r="H20" i="1" s="1"/>
  <c r="I20" i="1" s="1"/>
  <c r="F133" i="3"/>
  <c r="F141" i="3" s="1"/>
  <c r="E141" i="3" s="1"/>
  <c r="E119" i="3"/>
  <c r="E188" i="3"/>
  <c r="E186" i="3"/>
  <c r="E184" i="3"/>
  <c r="K20" i="1" l="1"/>
  <c r="L20" i="1"/>
  <c r="J20" i="1"/>
  <c r="E190" i="3"/>
  <c r="F29" i="4" s="1"/>
  <c r="N20" i="1" l="1"/>
  <c r="M20" i="1" s="1"/>
  <c r="E14" i="6"/>
  <c r="E68" i="3"/>
  <c r="C55" i="3"/>
  <c r="E55" i="3" s="1"/>
  <c r="E80" i="3"/>
  <c r="E78" i="3"/>
  <c r="E76" i="3"/>
  <c r="E74" i="3"/>
  <c r="E63" i="3"/>
  <c r="E61" i="3"/>
  <c r="E59" i="3"/>
  <c r="C57" i="3"/>
  <c r="E57" i="3" s="1"/>
  <c r="C53" i="3"/>
  <c r="E53" i="3" s="1"/>
  <c r="C51" i="3"/>
  <c r="E51" i="3" s="1"/>
  <c r="F14" i="6" l="1"/>
  <c r="F24" i="6" s="1"/>
  <c r="E66" i="3"/>
  <c r="F72" i="3"/>
  <c r="E72" i="3" s="1"/>
  <c r="C12" i="3"/>
  <c r="E12" i="3" s="1"/>
  <c r="F15" i="4" l="1"/>
  <c r="F27" i="4"/>
  <c r="F22" i="4"/>
  <c r="E82" i="3"/>
  <c r="F18" i="2"/>
  <c r="H18" i="2" s="1"/>
  <c r="F16" i="2"/>
  <c r="F20" i="2"/>
  <c r="H20" i="2" s="1"/>
  <c r="F14" i="2"/>
  <c r="C113" i="3"/>
  <c r="C111" i="3"/>
  <c r="F12" i="2"/>
  <c r="F10" i="2"/>
  <c r="E23" i="1" l="1"/>
  <c r="G23" i="1" s="1"/>
  <c r="H23" i="1" s="1"/>
  <c r="I23" i="1" s="1"/>
  <c r="J23" i="1" s="1"/>
  <c r="F24" i="4"/>
  <c r="E11" i="1"/>
  <c r="E19" i="1"/>
  <c r="F113" i="3"/>
  <c r="K23" i="1" l="1"/>
  <c r="L23" i="1"/>
  <c r="C200" i="3"/>
  <c r="E200" i="3" s="1"/>
  <c r="C161" i="3"/>
  <c r="C131" i="3"/>
  <c r="C121" i="3"/>
  <c r="N23" i="1" l="1"/>
  <c r="M23" i="1" s="1"/>
  <c r="C154" i="3"/>
  <c r="E154" i="3" s="1"/>
  <c r="E39" i="3" l="1"/>
  <c r="E37" i="3"/>
  <c r="H12" i="2"/>
  <c r="N36" i="1"/>
  <c r="C206" i="3" l="1"/>
  <c r="E206" i="3" s="1"/>
  <c r="E198" i="3"/>
  <c r="E196" i="3"/>
  <c r="C194" i="3"/>
  <c r="E194" i="3" s="1"/>
  <c r="E208" i="3" l="1"/>
  <c r="E202" i="3"/>
  <c r="F31" i="4" s="1"/>
  <c r="E143" i="3"/>
  <c r="E161" i="3"/>
  <c r="C152" i="3"/>
  <c r="E152" i="3" s="1"/>
  <c r="E145" i="3"/>
  <c r="E139" i="3"/>
  <c r="E131" i="3"/>
  <c r="E125" i="3"/>
  <c r="E121" i="3"/>
  <c r="E117" i="3"/>
  <c r="E115" i="3"/>
  <c r="E113" i="3"/>
  <c r="E111" i="3"/>
  <c r="E133" i="3"/>
  <c r="E102" i="3"/>
  <c r="E33" i="3"/>
  <c r="E108" i="3"/>
  <c r="E106" i="3"/>
  <c r="E104" i="3"/>
  <c r="E100" i="3"/>
  <c r="E98" i="3"/>
  <c r="E96" i="3"/>
  <c r="E94" i="3"/>
  <c r="E92" i="3"/>
  <c r="E89" i="3"/>
  <c r="C87" i="3"/>
  <c r="E87" i="3" s="1"/>
  <c r="E21" i="3"/>
  <c r="E19" i="3"/>
  <c r="E45" i="3"/>
  <c r="E43" i="3"/>
  <c r="E41" i="3"/>
  <c r="E27" i="3"/>
  <c r="E35" i="3"/>
  <c r="E31" i="3"/>
  <c r="E29" i="3"/>
  <c r="E25" i="3"/>
  <c r="E23" i="3"/>
  <c r="C16" i="3"/>
  <c r="E16" i="3" s="1"/>
  <c r="C14" i="3"/>
  <c r="E14" i="3" s="1"/>
  <c r="C10" i="3"/>
  <c r="E10" i="3" s="1"/>
  <c r="H14" i="2"/>
  <c r="H16" i="2"/>
  <c r="H10" i="2"/>
  <c r="H8" i="2"/>
  <c r="F33" i="4" l="1"/>
  <c r="F35" i="4" s="1"/>
  <c r="E163" i="3"/>
  <c r="F13" i="4" s="1"/>
  <c r="E147" i="3"/>
  <c r="F9" i="4"/>
  <c r="E16" i="1" s="1"/>
  <c r="E47" i="3"/>
  <c r="E15" i="1" s="1"/>
  <c r="H22" i="2"/>
  <c r="F11" i="4" l="1"/>
  <c r="F19" i="4" s="1"/>
  <c r="F37" i="4" s="1"/>
  <c r="E212" i="3"/>
  <c r="E25" i="1"/>
  <c r="E17" i="1" l="1"/>
  <c r="G17" i="1" s="1"/>
  <c r="H17" i="1" s="1"/>
  <c r="I17" i="1" s="1"/>
  <c r="L17" i="1" s="1"/>
  <c r="E18" i="1"/>
  <c r="G18" i="1" s="1"/>
  <c r="H18" i="1" s="1"/>
  <c r="I18" i="1" s="1"/>
  <c r="J18" i="1" s="1"/>
  <c r="G15" i="1"/>
  <c r="G25" i="1"/>
  <c r="H25" i="1" s="1"/>
  <c r="I25" i="1" s="1"/>
  <c r="G16" i="1"/>
  <c r="H16" i="1" s="1"/>
  <c r="I16" i="1" s="1"/>
  <c r="G27" i="1" l="1"/>
  <c r="H27" i="1" s="1"/>
  <c r="I27" i="1" s="1"/>
  <c r="L27" i="1" s="1"/>
  <c r="N27" i="1" s="1"/>
  <c r="M27" i="1" s="1"/>
  <c r="L18" i="1"/>
  <c r="F39" i="4"/>
  <c r="F41" i="4" s="1"/>
  <c r="G19" i="1"/>
  <c r="H19" i="1" s="1"/>
  <c r="I19" i="1" s="1"/>
  <c r="J19" i="1" s="1"/>
  <c r="E29" i="1"/>
  <c r="E26" i="1"/>
  <c r="G26" i="1" s="1"/>
  <c r="H26" i="1" s="1"/>
  <c r="I26" i="1" s="1"/>
  <c r="L26" i="1" s="1"/>
  <c r="N26" i="1" s="1"/>
  <c r="M26" i="1" s="1"/>
  <c r="K18" i="1"/>
  <c r="L16" i="1"/>
  <c r="L25" i="1"/>
  <c r="N25" i="1" s="1"/>
  <c r="M25" i="1" s="1"/>
  <c r="K17" i="1"/>
  <c r="J17" i="1"/>
  <c r="K16" i="1"/>
  <c r="J16" i="1"/>
  <c r="H15" i="1"/>
  <c r="N18" i="1" l="1"/>
  <c r="M18" i="1" s="1"/>
  <c r="K19" i="1"/>
  <c r="L19" i="1"/>
  <c r="N17" i="1"/>
  <c r="M17" i="1" s="1"/>
  <c r="N16" i="1"/>
  <c r="M16" i="1" s="1"/>
  <c r="I15" i="1"/>
  <c r="N19" i="1" l="1"/>
  <c r="M19" i="1" s="1"/>
  <c r="L15" i="1"/>
  <c r="K15" i="1"/>
  <c r="J15" i="1"/>
  <c r="N15" i="1" l="1"/>
  <c r="M15" i="1" s="1"/>
  <c r="G29" i="1" l="1"/>
  <c r="F42" i="4" l="1"/>
  <c r="H29" i="1"/>
  <c r="E8" i="1" l="1"/>
  <c r="N33" i="1" s="1"/>
  <c r="J29" i="1"/>
  <c r="L29" i="1"/>
  <c r="K29" i="1"/>
  <c r="I29" i="1"/>
  <c r="G8" i="1" l="1"/>
  <c r="E9" i="1"/>
  <c r="G9" i="1" s="1"/>
  <c r="H9" i="1" s="1"/>
  <c r="I9" i="1" s="1"/>
  <c r="E10" i="1" l="1"/>
  <c r="H8" i="1"/>
  <c r="K9" i="1"/>
  <c r="J9" i="1"/>
  <c r="L9" i="1"/>
  <c r="N29" i="1"/>
  <c r="N9" i="1" l="1"/>
  <c r="M9" i="1" s="1"/>
  <c r="I8" i="1"/>
  <c r="J8" i="1" l="1"/>
  <c r="L8" i="1"/>
  <c r="K8" i="1"/>
  <c r="N8" i="1" l="1"/>
  <c r="M8" i="1" s="1"/>
  <c r="G11" i="1"/>
  <c r="G10" i="1"/>
  <c r="G12" i="1" s="1"/>
  <c r="G31" i="1" s="1"/>
  <c r="G41" i="1" s="1"/>
  <c r="H11" i="1" l="1"/>
  <c r="I11" i="1" s="1"/>
  <c r="H10" i="1"/>
  <c r="H12" i="1" s="1"/>
  <c r="H31" i="1" s="1"/>
  <c r="H41" i="1" s="1"/>
  <c r="K11" i="1" l="1"/>
  <c r="L11" i="1"/>
  <c r="J11" i="1"/>
  <c r="I10" i="1"/>
  <c r="N11" i="1" l="1"/>
  <c r="M11" i="1" s="1"/>
  <c r="I12" i="1"/>
  <c r="I31" i="1" s="1"/>
  <c r="I41" i="1" s="1"/>
  <c r="J10" i="1"/>
  <c r="J12" i="1" s="1"/>
  <c r="J31" i="1" s="1"/>
  <c r="J41" i="1" s="1"/>
  <c r="K10" i="1"/>
  <c r="K12" i="1" s="1"/>
  <c r="K31" i="1" s="1"/>
  <c r="K41" i="1" s="1"/>
  <c r="L10" i="1"/>
  <c r="L12" i="1" s="1"/>
  <c r="L31" i="1" s="1"/>
  <c r="L41" i="1" s="1"/>
  <c r="N10" i="1" l="1"/>
  <c r="N12" i="1" l="1"/>
  <c r="N31" i="1" s="1"/>
  <c r="M10" i="1"/>
  <c r="N37" i="1" l="1"/>
  <c r="N34" i="1"/>
  <c r="N35" i="1"/>
  <c r="N39" i="1" l="1"/>
  <c r="N41" i="1" s="1"/>
  <c r="N43" i="1" s="1"/>
  <c r="N45" i="1" s="1"/>
  <c r="N47" i="1" s="1"/>
  <c r="N49" i="1" s="1"/>
  <c r="N51" i="1" s="1"/>
  <c r="N53" i="1" s="1"/>
</calcChain>
</file>

<file path=xl/sharedStrings.xml><?xml version="1.0" encoding="utf-8"?>
<sst xmlns="http://schemas.openxmlformats.org/spreadsheetml/2006/main" count="417" uniqueCount="296">
  <si>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</si>
  <si>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</si>
  <si>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</si>
  <si>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</si>
  <si>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</si>
  <si>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</si>
  <si>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</si>
  <si>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</si>
  <si>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</si>
  <si>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</si>
  <si>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Item</t>
  </si>
  <si>
    <t>Unit</t>
  </si>
  <si>
    <t>Quantity</t>
  </si>
  <si>
    <t>Extended Cost                                              (B x C)</t>
  </si>
  <si>
    <t xml:space="preserve">Design Contingency 15%                                 (D x .15)                                                                                                                                                                                               </t>
  </si>
  <si>
    <t>Subtotal                                      (D + E)</t>
  </si>
  <si>
    <t>General Conditions 7.0%                   (F x .07)</t>
  </si>
  <si>
    <t>Contractors Fee and Profit 3.5%                   (F x .035)</t>
  </si>
  <si>
    <t>Construction Contingency 5%                                (F x .05)</t>
  </si>
  <si>
    <t>End of the Day Cost/SF</t>
  </si>
  <si>
    <t>Site work</t>
  </si>
  <si>
    <t>SF</t>
  </si>
  <si>
    <t>LS</t>
  </si>
  <si>
    <t>Subtotal for Site work</t>
  </si>
  <si>
    <t>Building Areas</t>
  </si>
  <si>
    <t>Covered Areas</t>
  </si>
  <si>
    <t xml:space="preserve"> </t>
  </si>
  <si>
    <t>Subtotal for Building Areas</t>
  </si>
  <si>
    <t>Subtotal</t>
  </si>
  <si>
    <t>Architectural/Engineering Fees</t>
  </si>
  <si>
    <t>%</t>
  </si>
  <si>
    <t>Surveys/Tests/Reports</t>
  </si>
  <si>
    <t>Environmental Reports</t>
  </si>
  <si>
    <t xml:space="preserve"> Total</t>
  </si>
  <si>
    <t xml:space="preserve">Total Cost </t>
  </si>
  <si>
    <t>Site Landscaping/Security Fencing</t>
  </si>
  <si>
    <t>Fuel and Wash Equipment</t>
  </si>
  <si>
    <t>L</t>
  </si>
  <si>
    <t>Total Site Area</t>
  </si>
  <si>
    <t>15% of Total Site Area</t>
  </si>
  <si>
    <t>Area Calculated Based on Parking</t>
  </si>
  <si>
    <t>Based on typical office systems furniture</t>
  </si>
  <si>
    <t>Fleet Data Entry</t>
  </si>
  <si>
    <t>Size</t>
  </si>
  <si>
    <t>12' X 35'</t>
  </si>
  <si>
    <t>Area Required (SF)  Includes Circulation</t>
  </si>
  <si>
    <t>10' X 20'</t>
  </si>
  <si>
    <t>12' X 45'</t>
  </si>
  <si>
    <t>9' X 18'</t>
  </si>
  <si>
    <t>14'-0" X 16'-0"</t>
  </si>
  <si>
    <t>Administrative Offices</t>
  </si>
  <si>
    <t>8'-0" X 8'-0"</t>
  </si>
  <si>
    <t>10'-0" X 12'-0"</t>
  </si>
  <si>
    <t>Copy Files and Storage</t>
  </si>
  <si>
    <t>200 SQ. FT. Min</t>
  </si>
  <si>
    <t>Training Room (25 Persons Academic Setting)</t>
  </si>
  <si>
    <t>600 SQ. FT. Min</t>
  </si>
  <si>
    <t>Training Table and Chair Storage</t>
  </si>
  <si>
    <t>350 SQ. FT. Min</t>
  </si>
  <si>
    <t>Conference Room (Large) - 10 to 14 Staff</t>
  </si>
  <si>
    <t>Conference Room (Small) - 6 to 8 Staff</t>
  </si>
  <si>
    <t>225 SQ. FT. Min</t>
  </si>
  <si>
    <t>Building Support Areas (IT, Electrical Room and Mechanical Rooms)</t>
  </si>
  <si>
    <t>500 SQ. FT. Min</t>
  </si>
  <si>
    <t>750 SQ. FT. Min</t>
  </si>
  <si>
    <t>Men's Restroom/Showers/Lockers ( Sized for 100% of Staff for Functional Reality)</t>
  </si>
  <si>
    <t>Mud Room/Wet Gear Storage</t>
  </si>
  <si>
    <t>250 SQ. FT. Min</t>
  </si>
  <si>
    <t>Reception/Lobby Area</t>
  </si>
  <si>
    <t>900 SQ. FT. Min</t>
  </si>
  <si>
    <t>Public Meeting/Board Room (40-50 Persons)</t>
  </si>
  <si>
    <t>SPACES ANTICIPATED TO BE INCLUDED AT YOUR FACILITY</t>
  </si>
  <si>
    <t>Total Administrative Area for the Facility (SF)</t>
  </si>
  <si>
    <t>Maintenance &amp; Storage Equipment</t>
  </si>
  <si>
    <t>Facility Data Entry</t>
  </si>
  <si>
    <t>Exterior Areas</t>
  </si>
  <si>
    <t>Total All Building Areas</t>
  </si>
  <si>
    <t>Area (SQ. FT.)</t>
  </si>
  <si>
    <t>Total All Covered Areas</t>
  </si>
  <si>
    <t>Total All Exterior Areas</t>
  </si>
  <si>
    <t>Subtotal All Areas</t>
  </si>
  <si>
    <t>Acres</t>
  </si>
  <si>
    <t>Vehicle Maintenance Areas</t>
  </si>
  <si>
    <t>Vehicle Maintenance Manager Private Office</t>
  </si>
  <si>
    <t>Shared Offices for Supervisors/Foreman/Leads</t>
  </si>
  <si>
    <t>10'-0" X 10'-0"</t>
  </si>
  <si>
    <t>150 SQ. FT. Min</t>
  </si>
  <si>
    <t>Manuals/Copy/ Files and Storage</t>
  </si>
  <si>
    <t>Lunch/Break Room</t>
  </si>
  <si>
    <t>400 SQ. FT. Min (Incl. Kitchenette &amp; Vending)</t>
  </si>
  <si>
    <t>Maintenance Training Room (25 Persons Academic Setting)</t>
  </si>
  <si>
    <t>450 SQ. FT. Min</t>
  </si>
  <si>
    <t>Common Work Area (General Machine Shop)</t>
  </si>
  <si>
    <t>16'-0" X 35'-0"</t>
  </si>
  <si>
    <t>Tire Shop &amp; Storage</t>
  </si>
  <si>
    <t>Portable Equipment Storage</t>
  </si>
  <si>
    <t>VM Support and Training Areas</t>
  </si>
  <si>
    <t>Battery Room/Storage</t>
  </si>
  <si>
    <t>Vehicle Maintenance  Office Areas</t>
  </si>
  <si>
    <t>Space Description</t>
  </si>
  <si>
    <t>Palletized Storage Areas</t>
  </si>
  <si>
    <t>Small Parts Storage Areas</t>
  </si>
  <si>
    <t>Shipping &amp; Receiving (Dock Areas)</t>
  </si>
  <si>
    <t>16'-0" x 20'-0"</t>
  </si>
  <si>
    <t>Lube/Compressor Room</t>
  </si>
  <si>
    <t>Total Vehicle Maintenance Areas for the Facility (SF)</t>
  </si>
  <si>
    <t>Grand Total  - Site Requirements</t>
  </si>
  <si>
    <t>20' x 25'</t>
  </si>
  <si>
    <t>Women's Restroom/Showers/Lockers ( Sized for 50% of Staff by Code)</t>
  </si>
  <si>
    <t>EXTERIOR AREAS</t>
  </si>
  <si>
    <t>Exterior Storage Areas</t>
  </si>
  <si>
    <t xml:space="preserve">Fuel Storage Tank Yard </t>
  </si>
  <si>
    <t>10' x 35'</t>
  </si>
  <si>
    <t>Exterior Storm Water Management Areas</t>
  </si>
  <si>
    <t>Detention/Retention Ponds</t>
  </si>
  <si>
    <t>150' x 150'</t>
  </si>
  <si>
    <t>Resulting Area</t>
  </si>
  <si>
    <t>Space Standard</t>
  </si>
  <si>
    <t>Enter Number of Staff Positions or Quantity Required</t>
  </si>
  <si>
    <t>Total Area Requirements for the Facility (SF) - less site circulation and drives</t>
  </si>
  <si>
    <t>Provided for your use by :</t>
  </si>
  <si>
    <t>Entry Quantity of this Vehicle Type</t>
  </si>
  <si>
    <t>BUILDING AREAS</t>
  </si>
  <si>
    <t>700 SQ. FT. Min</t>
  </si>
  <si>
    <t>Men's Restroom (Public Use)</t>
  </si>
  <si>
    <t>Women's Restroom (Public Use)</t>
  </si>
  <si>
    <t>120 SQ. FT. Min</t>
  </si>
  <si>
    <t>9 SQ. FT. /person</t>
  </si>
  <si>
    <t>Total Parking Area Requirements for the Facility (SF)</t>
  </si>
  <si>
    <t>6'-0" X 8'-0"</t>
  </si>
  <si>
    <t xml:space="preserve">   includes  20% Circulation</t>
  </si>
  <si>
    <t>Caution: Value based on Fleet Data - changing value breaks link</t>
  </si>
  <si>
    <t>Remarks</t>
  </si>
  <si>
    <t>Rounded and in Current Year Dollars</t>
  </si>
  <si>
    <t xml:space="preserve"> Vehicles 8'-6"  wide x 12'-0" to 16'-0" long</t>
  </si>
  <si>
    <t>NO DATA ENTRY REQUIRED ON THIS PAGE</t>
  </si>
  <si>
    <t>Site Clearing/Development &amp; Site Utility Extensions</t>
  </si>
  <si>
    <t xml:space="preserve">Total (Rounded)                                                                                                                                                                                                                                                          </t>
  </si>
  <si>
    <t>Needed if a Public Meeting Room is Selected</t>
  </si>
  <si>
    <t>1/2 acre minimum.  Area to be confirmed based on local requirements and adopted BMP's</t>
  </si>
  <si>
    <t>with 1 year of escalation @ 3.5%</t>
  </si>
  <si>
    <t>with 2 years of escalation @ 3.5%</t>
  </si>
  <si>
    <t>with 3 years of escalation @ 3.5%</t>
  </si>
  <si>
    <t>with 4 years of escalation @ 3.5%</t>
  </si>
  <si>
    <t>with 5 years of escalation @ 3.5%</t>
  </si>
  <si>
    <t>Includes Automated Wash Systems and typical Fueling Systems</t>
  </si>
  <si>
    <t>Construction Management - In-house</t>
  </si>
  <si>
    <t>12' X 65'</t>
  </si>
  <si>
    <t>vehicles 8'-6" wide x 60-0" long</t>
  </si>
  <si>
    <t xml:space="preserve"> Vehicles  8'-6" wide x 45'-0" long</t>
  </si>
  <si>
    <t>12' X 50'</t>
  </si>
  <si>
    <t xml:space="preserve"> Vehicles 8'-6" wide x 42'-0" long</t>
  </si>
  <si>
    <t>Articulated Bus Repair Bay (1:15)</t>
  </si>
  <si>
    <t>20'-0" X 75'-0"</t>
  </si>
  <si>
    <t>Articulated Bus PM/Inspection Bay (1:50)</t>
  </si>
  <si>
    <t>12' X 40'</t>
  </si>
  <si>
    <t xml:space="preserve"> Vehicles 8'-6" wide x 37'-0" long</t>
  </si>
  <si>
    <t>Resulting Area (includes Circulation)</t>
  </si>
  <si>
    <t>12' X 30'</t>
  </si>
  <si>
    <t>Vehicles 8'-6" wide x 28'-0" long</t>
  </si>
  <si>
    <t>Type of Bus or Vehicle</t>
  </si>
  <si>
    <t>Other Site Circulation, Setbacks and Landscaping -100%</t>
  </si>
  <si>
    <t>Support  Areas</t>
  </si>
  <si>
    <t>6'-0" X 6'-0"</t>
  </si>
  <si>
    <t>Operations Office Areas</t>
  </si>
  <si>
    <t>Operations Support  Areas</t>
  </si>
  <si>
    <t>Operators' Room  (aka: Drivers' Room, Day Room, Drivers' Lounge)</t>
  </si>
  <si>
    <t xml:space="preserve">Bus Administration, Operations, and Maintenance Facility </t>
  </si>
  <si>
    <t xml:space="preserve"> Number of Buses or Vehicles Required</t>
  </si>
  <si>
    <t>Exterior Vehicle Parking Areas</t>
  </si>
  <si>
    <t>20' x 75'</t>
  </si>
  <si>
    <t>15' x 75'</t>
  </si>
  <si>
    <t>---</t>
  </si>
  <si>
    <t>15 x 25</t>
  </si>
  <si>
    <t>20' x 95'</t>
  </si>
  <si>
    <t>15' x 50'</t>
  </si>
  <si>
    <t>10' x 20'</t>
  </si>
  <si>
    <t>13' X 18'</t>
  </si>
  <si>
    <t>No Entry Required: Value based on Fleet Data - changing value breaks link</t>
  </si>
  <si>
    <t>General Exterior Stops and Zones Storage</t>
  </si>
  <si>
    <t>6' x 10'</t>
  </si>
  <si>
    <t>Enter number of AST's:  Based on a 20000 gallon Above Ground Fuel Storage Tank plus safety area</t>
  </si>
  <si>
    <t>20'-0" X 60'-0"</t>
  </si>
  <si>
    <t>Standard and Small Bus Repair Bay (1:15)</t>
  </si>
  <si>
    <t>Standard and Small Bus PM/Inspection Bay (1:50)</t>
  </si>
  <si>
    <t>Paratransit Repair Bay (1:35 Vehicles)</t>
  </si>
  <si>
    <t>Paratransit PM/Inspection Bay (1:100 Vehicles)</t>
  </si>
  <si>
    <t>Specialty Bay - Paint Booth</t>
  </si>
  <si>
    <t>35'-0" X 80'-0"</t>
  </si>
  <si>
    <t>25'-0" X 75'-0"</t>
  </si>
  <si>
    <t>Specialty Bay - Chassis Wash (Engine/Undercarriage) Bay _ Articulated Length</t>
  </si>
  <si>
    <t>Parts Storage Areas</t>
  </si>
  <si>
    <t>Parts Office Areas</t>
  </si>
  <si>
    <t>Enter number of workstations -  includes  20% Circulation</t>
  </si>
  <si>
    <t>No Data Entry - Rounded Value based on Fleet Data and Bay to Vehicle Ratio of 1:10</t>
  </si>
  <si>
    <t>No Data Entry -Rounded Value based on Fleet Data and Bay to Vehicle Ratio of 1:50</t>
  </si>
  <si>
    <t>No Data Entry -Rounded Value based on Fleet Data and Bay to Vehicle Ratio of 1:15</t>
  </si>
  <si>
    <t>No Data Entry -Rounded Value based on Fleet Data and Bay to Vehicle Ratio of 1:35</t>
  </si>
  <si>
    <t>No Data Entry -Rounded Value based on Fleet Data and Bay to Vehicle Ratio of 1:100</t>
  </si>
  <si>
    <t>Specialty Bay - Body Repair Bay/Paint Prep Bay_ Articulated Length</t>
  </si>
  <si>
    <t>Specialty Bay - Body Repair Bay/Paint Prep Bay_ Standard Length</t>
  </si>
  <si>
    <t>25'-0" X 60'-0"</t>
  </si>
  <si>
    <t>Enter number required here  - if fleet includes Articulated Buses</t>
  </si>
  <si>
    <t>Enter number required here  - if fleet includes NO Articulated Buses and there is no prospect of having Articulated Buses.</t>
  </si>
  <si>
    <t>Specialty Bay - Chassis Wash (Engine/Undercarriage) Bay _ Standard Length</t>
  </si>
  <si>
    <t>50 SQ. FT. per Bay</t>
  </si>
  <si>
    <t>Specialty Bay - Tire Bay_ Articulated Length</t>
  </si>
  <si>
    <t>Specialty Bay - Tire Bay_ Standard Length</t>
  </si>
  <si>
    <t>No Data Entry - area calculated by total number of Bays</t>
  </si>
  <si>
    <t>Roll-off Waste Bins</t>
  </si>
  <si>
    <t>Quite Room(s)</t>
  </si>
  <si>
    <t>Bid Room</t>
  </si>
  <si>
    <t>Total Operations Areas for the Facility (SF)</t>
  </si>
  <si>
    <t>Locker Alcove</t>
  </si>
  <si>
    <t>3 SQ. FT. /operator</t>
  </si>
  <si>
    <t>Bus Parking Scenarios</t>
  </si>
  <si>
    <t xml:space="preserve">Wash Equipment Room </t>
  </si>
  <si>
    <t>Disability Spaces</t>
  </si>
  <si>
    <t>Total Parts Storage Areas for the Facility (SF)</t>
  </si>
  <si>
    <t>Enter "1" here if the facility will include a Automated Bus Washer</t>
  </si>
  <si>
    <t>Enter "1" here if the facility will include a Revenue Counting Room located at the Service Facility</t>
  </si>
  <si>
    <t>Enter "1" here if the facility will include a Fueling Facility</t>
  </si>
  <si>
    <t>Go to Bus Parking Scenarios Tab to select Bus Parking Approach for the Facility</t>
  </si>
  <si>
    <t>Total Vehicle Parking Areas for the Facility (SF)</t>
  </si>
  <si>
    <t>No Entry Required - Calculation is 1 space for every 40 Staff Spaces</t>
  </si>
  <si>
    <t>Total Exterior Storage Areas for the Facility (SF)</t>
  </si>
  <si>
    <t>Enter number of every 1000 SF storage areas required.</t>
  </si>
  <si>
    <t>Waste Collection Dumpster and Recycling Collection Dumpster</t>
  </si>
  <si>
    <t>Total Exterior Storm Water Management Areas for the Facility (SF)</t>
  </si>
  <si>
    <t>FF&amp;E (Administrative &amp; Operations Areas)</t>
  </si>
  <si>
    <t>Includes Lifts, Shop, and Storage Equipment</t>
  </si>
  <si>
    <t>Choose a Bus Parking Approach</t>
  </si>
  <si>
    <t>Choose where Bus Parking will be Located</t>
  </si>
  <si>
    <t>Interior</t>
  </si>
  <si>
    <t>Covered</t>
  </si>
  <si>
    <t>Exterior</t>
  </si>
  <si>
    <t>In-Line (Stacked)</t>
  </si>
  <si>
    <t>Double Deep Drive Thru</t>
  </si>
  <si>
    <t>Angled Double Deep Drvie Thru</t>
  </si>
  <si>
    <t>Bus Parking</t>
  </si>
  <si>
    <t>Total Exterior Bus Parking</t>
  </si>
  <si>
    <t>Total Covered Bus Parking</t>
  </si>
  <si>
    <t>Total Interior Bus Parking</t>
  </si>
  <si>
    <t>Total Bus Parking (SF)</t>
  </si>
  <si>
    <t>Articulated Buses: Includes both fixed route and BRT configurations</t>
  </si>
  <si>
    <t xml:space="preserve">Over the Road (OTR) Coach: OTR either in touring or commuter configuration </t>
  </si>
  <si>
    <t>Standard Transit Bus: Includes all fixed route configuration with Wheel Chair Lifts and Bicycle Racks</t>
  </si>
  <si>
    <t>Small Transit Bus:  Buses 30 and 35 feet in length.  Includes all fixed route configuration with Wheel Chair Lifts and Bicycle Racks</t>
  </si>
  <si>
    <t>Paratransit Buses:  Cut-away Vans, Large Vans and Small Buses no longer than 28 feet.</t>
  </si>
  <si>
    <t>Required Area with Circulation</t>
  </si>
  <si>
    <t>Total Service Areas (Fuel/Fare/Wash)</t>
  </si>
  <si>
    <t>Service Areas (Fuel, Fare Retrieval, and Exterior Bus Wash Areas)</t>
  </si>
  <si>
    <t>Total Fuel and Wash Areas for the Facility (SF)</t>
  </si>
  <si>
    <t>Other Paving - Drives and Circulation (Asphalt and Concrete)</t>
  </si>
  <si>
    <t>Land Acquisituation</t>
  </si>
  <si>
    <t>Preliminary Budget Worksheet</t>
  </si>
  <si>
    <t>Macro Facility Program Summary</t>
  </si>
  <si>
    <t>No Data Entry Required.  Number of Lockers equals number of Operators Drivers calculated by number of buses x 2.1</t>
  </si>
  <si>
    <t>No Data Entry Required.  Number of Operators calculated by number of buses x 2.1</t>
  </si>
  <si>
    <t>Parts Manager Private Office</t>
  </si>
  <si>
    <t>Shared Offices for Parts Room Staff</t>
  </si>
  <si>
    <t>7.5 SQ. FT./Bus</t>
  </si>
  <si>
    <t>No Data Entry.  Area calculation based on 12 SF per bus + 20% Circulation</t>
  </si>
  <si>
    <t>No Data Entry.  Area calculation based on 7.5 SF per bus + 20% Circulation</t>
  </si>
  <si>
    <t>15 SQ. FT./Bus</t>
  </si>
  <si>
    <t>Provided for your use by:</t>
  </si>
  <si>
    <r>
      <t xml:space="preserve">Unit Cost </t>
    </r>
    <r>
      <rPr>
        <b/>
        <i/>
        <sz val="12"/>
        <color rgb="FFFFC600"/>
        <rFont val="Arial"/>
        <family val="2"/>
      </rPr>
      <t>Adjustable Values</t>
    </r>
  </si>
  <si>
    <r>
      <t xml:space="preserve">Articulated Buses: </t>
    </r>
    <r>
      <rPr>
        <sz val="11"/>
        <color theme="0"/>
        <rFont val="Arial"/>
        <family val="2"/>
        <scheme val="major"/>
      </rPr>
      <t>Includes both fixed route and BRT configurations</t>
    </r>
  </si>
  <si>
    <r>
      <rPr>
        <sz val="18"/>
        <color theme="0"/>
        <rFont val="Arial"/>
        <family val="2"/>
        <scheme val="major"/>
      </rPr>
      <t>Over the Road (OTR) Coach:</t>
    </r>
    <r>
      <rPr>
        <sz val="11"/>
        <color theme="0"/>
        <rFont val="Arial"/>
        <family val="2"/>
        <scheme val="major"/>
      </rPr>
      <t xml:space="preserve"> OTR either in touring or commuter configuration </t>
    </r>
  </si>
  <si>
    <r>
      <rPr>
        <sz val="18"/>
        <color theme="0"/>
        <rFont val="Arial"/>
        <family val="2"/>
        <scheme val="major"/>
      </rPr>
      <t>Standard Transit Bus:</t>
    </r>
    <r>
      <rPr>
        <sz val="11"/>
        <color theme="0"/>
        <rFont val="Arial"/>
        <family val="2"/>
        <scheme val="major"/>
      </rPr>
      <t xml:space="preserve"> Includes all fixed route configuration with Wheel Chair Lifts and Bicycle Racks</t>
    </r>
  </si>
  <si>
    <r>
      <rPr>
        <sz val="18"/>
        <color theme="0"/>
        <rFont val="Arial"/>
        <family val="2"/>
        <scheme val="major"/>
      </rPr>
      <t>Small Transit Bus:</t>
    </r>
    <r>
      <rPr>
        <sz val="11"/>
        <color theme="0"/>
        <rFont val="Arial"/>
        <family val="2"/>
        <scheme val="major"/>
      </rPr>
      <t xml:space="preserve">  Buses 30 and 35 feet in length.  Includes all fixed route configuration with Wheel Chair Lifts and Bicycle Racks</t>
    </r>
  </si>
  <si>
    <r>
      <rPr>
        <sz val="18"/>
        <color theme="0"/>
        <rFont val="Arial"/>
        <family val="2"/>
        <scheme val="major"/>
      </rPr>
      <t xml:space="preserve">Paratransit Buses: </t>
    </r>
    <r>
      <rPr>
        <sz val="11"/>
        <color theme="0"/>
        <rFont val="Arial"/>
        <family val="2"/>
        <scheme val="major"/>
      </rPr>
      <t xml:space="preserve"> Cut-away Vans, Large Vans and Small Buses no longer than 28 feet.</t>
    </r>
  </si>
  <si>
    <r>
      <rPr>
        <sz val="18"/>
        <color theme="0"/>
        <rFont val="Arial"/>
        <family val="2"/>
        <scheme val="major"/>
      </rPr>
      <t>Non-Revenue Vehicles:</t>
    </r>
    <r>
      <rPr>
        <sz val="11"/>
        <color theme="0"/>
        <rFont val="Arial"/>
        <family val="2"/>
        <scheme val="major"/>
      </rPr>
      <t xml:space="preserve"> Pick-up Trucks, Sedans, Vans, SUV's and Motorcycles </t>
    </r>
  </si>
  <si>
    <r>
      <rPr>
        <sz val="18"/>
        <color theme="0"/>
        <rFont val="Arial"/>
        <family val="2"/>
        <scheme val="major"/>
      </rPr>
      <t>Staff and Visitors:</t>
    </r>
    <r>
      <rPr>
        <sz val="11"/>
        <color theme="0"/>
        <rFont val="Arial"/>
        <family val="2"/>
        <scheme val="major"/>
      </rPr>
      <t xml:space="preserve"> Personal Vehicles:  Pick-up Trucks, Sedans, Vans, SUV's and Motorcycles </t>
    </r>
  </si>
  <si>
    <r>
      <rPr>
        <b/>
        <sz val="14"/>
        <color theme="0"/>
        <rFont val="Arial"/>
        <family val="2"/>
        <scheme val="major"/>
      </rPr>
      <t>Private Office</t>
    </r>
    <r>
      <rPr>
        <sz val="14"/>
        <color theme="0"/>
        <rFont val="Arial"/>
        <family val="2"/>
        <scheme val="major"/>
      </rPr>
      <t xml:space="preserve"> for Director or General Manager</t>
    </r>
  </si>
  <si>
    <r>
      <rPr>
        <b/>
        <sz val="14"/>
        <color theme="0"/>
        <rFont val="Arial"/>
        <family val="2"/>
        <scheme val="major"/>
      </rPr>
      <t>Private Offices</t>
    </r>
    <r>
      <rPr>
        <sz val="14"/>
        <color theme="0"/>
        <rFont val="Arial"/>
        <family val="2"/>
        <scheme val="major"/>
      </rPr>
      <t xml:space="preserve"> for Assistant Directors or Assistant General Managers</t>
    </r>
  </si>
  <si>
    <r>
      <rPr>
        <b/>
        <sz val="14"/>
        <color theme="0"/>
        <rFont val="Arial"/>
        <family val="2"/>
        <scheme val="major"/>
      </rPr>
      <t>Private Offices</t>
    </r>
    <r>
      <rPr>
        <sz val="14"/>
        <color theme="0"/>
        <rFont val="Arial"/>
        <family val="2"/>
        <scheme val="major"/>
      </rPr>
      <t xml:space="preserve"> for Department or Group Managers</t>
    </r>
  </si>
  <si>
    <r>
      <rPr>
        <b/>
        <sz val="14"/>
        <color theme="0"/>
        <rFont val="Arial"/>
        <family val="2"/>
        <scheme val="major"/>
      </rPr>
      <t>Workstations</t>
    </r>
    <r>
      <rPr>
        <sz val="14"/>
        <color theme="0"/>
        <rFont val="Arial"/>
        <family val="2"/>
        <scheme val="major"/>
      </rPr>
      <t xml:space="preserve"> for Clerical, Technical, and Reception staff</t>
    </r>
  </si>
  <si>
    <r>
      <rPr>
        <b/>
        <sz val="14"/>
        <color theme="0"/>
        <rFont val="Arial"/>
        <family val="2"/>
        <scheme val="major"/>
      </rPr>
      <t>Private Office</t>
    </r>
    <r>
      <rPr>
        <sz val="14"/>
        <color theme="0"/>
        <rFont val="Arial"/>
        <family val="2"/>
        <scheme val="major"/>
      </rPr>
      <t xml:space="preserve"> for Operations Manager</t>
    </r>
  </si>
  <si>
    <r>
      <rPr>
        <b/>
        <sz val="14"/>
        <color theme="0"/>
        <rFont val="Arial"/>
        <family val="2"/>
        <scheme val="major"/>
      </rPr>
      <t>Private Offices</t>
    </r>
    <r>
      <rPr>
        <sz val="14"/>
        <color theme="0"/>
        <rFont val="Arial"/>
        <family val="2"/>
        <scheme val="major"/>
      </rPr>
      <t xml:space="preserve"> for Assistant  Managers</t>
    </r>
  </si>
  <si>
    <r>
      <rPr>
        <b/>
        <sz val="14"/>
        <color theme="0"/>
        <rFont val="Arial"/>
        <family val="2"/>
        <scheme val="major"/>
      </rPr>
      <t>Shared Office</t>
    </r>
    <r>
      <rPr>
        <sz val="14"/>
        <color theme="0"/>
        <rFont val="Arial"/>
        <family val="2"/>
        <scheme val="major"/>
      </rPr>
      <t xml:space="preserve"> for Transit/Road Supervisors</t>
    </r>
  </si>
  <si>
    <r>
      <rPr>
        <b/>
        <sz val="14"/>
        <color theme="0"/>
        <rFont val="Arial"/>
        <family val="2"/>
        <scheme val="major"/>
      </rPr>
      <t>Covered Fueling, Fare, and Interior Cleaning Position</t>
    </r>
    <r>
      <rPr>
        <sz val="14"/>
        <color theme="0"/>
        <rFont val="Arial"/>
        <family val="2"/>
        <scheme val="major"/>
      </rPr>
      <t xml:space="preserve"> -  (Position for Fueling, Fluids Check/Refill, Fare Recovery and Interior Cleaning.  20 ft Wide (12 ft. wide Lane,  8 ft. wide Island) and 75 ft. Long)</t>
    </r>
  </si>
  <si>
    <r>
      <t xml:space="preserve">Fueling Operation Support Areas: </t>
    </r>
    <r>
      <rPr>
        <sz val="14"/>
        <color theme="0"/>
        <rFont val="Arial"/>
        <family val="2"/>
        <scheme val="major"/>
      </rPr>
      <t xml:space="preserve"> (includes 15 ft x 75 ft. area for Office, Restroom, Cleaning Storage and Lube/Compressor Room)</t>
    </r>
  </si>
  <si>
    <r>
      <rPr>
        <b/>
        <sz val="14"/>
        <color theme="0"/>
        <rFont val="Arial"/>
        <family val="2"/>
        <scheme val="major"/>
      </rPr>
      <t>Revenue Counting Room</t>
    </r>
    <r>
      <rPr>
        <sz val="14"/>
        <color theme="0"/>
        <rFont val="Arial"/>
        <family val="2"/>
        <scheme val="major"/>
      </rPr>
      <t xml:space="preserve"> - Special Secure counting room - typically associated with Fare Retrieval Positions</t>
    </r>
  </si>
  <si>
    <r>
      <rPr>
        <b/>
        <sz val="14"/>
        <color theme="0"/>
        <rFont val="Arial"/>
        <family val="2"/>
        <scheme val="major"/>
      </rPr>
      <t>Bus Wash Position/Lane</t>
    </r>
    <r>
      <rPr>
        <sz val="14"/>
        <color theme="0"/>
        <rFont val="Arial"/>
        <family val="2"/>
        <scheme val="major"/>
      </rPr>
      <t xml:space="preserve"> - Automated Bus Washer, Drive-Through </t>
    </r>
  </si>
  <si>
    <r>
      <rPr>
        <b/>
        <sz val="14"/>
        <color theme="0"/>
        <rFont val="Arial"/>
        <family val="2"/>
        <scheme val="major"/>
      </rPr>
      <t>Non-Revenue Vehicles:</t>
    </r>
    <r>
      <rPr>
        <sz val="14"/>
        <color theme="0"/>
        <rFont val="Arial"/>
        <family val="2"/>
        <scheme val="major"/>
      </rPr>
      <t xml:space="preserve"> Pick-up Trucks, Sedans, Vans, SUV's and Motorcycles </t>
    </r>
  </si>
  <si>
    <r>
      <rPr>
        <b/>
        <sz val="14"/>
        <color theme="0"/>
        <rFont val="Arial"/>
        <family val="2"/>
        <scheme val="major"/>
      </rPr>
      <t xml:space="preserve">Staff and Visitors: Personal Vehicles: </t>
    </r>
    <r>
      <rPr>
        <sz val="14"/>
        <color theme="0"/>
        <rFont val="Arial"/>
        <family val="2"/>
        <scheme val="major"/>
      </rPr>
      <t xml:space="preserve"> Pick-up Trucks, Sedans, Vans, SUV's and Motorcycles </t>
    </r>
  </si>
  <si>
    <r>
      <t xml:space="preserve">Enter number of Dumpsters. Based on common configuration </t>
    </r>
    <r>
      <rPr>
        <u/>
        <sz val="12"/>
        <color theme="0"/>
        <rFont val="Arial"/>
        <family val="2"/>
        <scheme val="major"/>
      </rPr>
      <t>Plus Circulation</t>
    </r>
  </si>
  <si>
    <r>
      <t xml:space="preserve">Enter number of roll off bins.  Based on most efficient depth for storage access </t>
    </r>
    <r>
      <rPr>
        <u/>
        <sz val="12"/>
        <color theme="0"/>
        <rFont val="Arial"/>
        <family val="2"/>
        <scheme val="major"/>
      </rPr>
      <t>Plus Circulation</t>
    </r>
  </si>
  <si>
    <t>Angled Double Deep Drive Thru</t>
  </si>
  <si>
    <t>Men's Restroom/Showers/Lockers (Sized for 100% of Staff for Functional Reality)</t>
  </si>
  <si>
    <t>Women's Restroom/Showers/Lockers (Sized for 50% of Staff by Code)</t>
  </si>
  <si>
    <t>Vehicle Maintenance Bays &amp; Shops</t>
  </si>
  <si>
    <r>
      <rPr>
        <b/>
        <sz val="16"/>
        <color theme="3"/>
        <rFont val="Arial"/>
        <family val="2"/>
        <scheme val="major"/>
      </rPr>
      <t xml:space="preserve">Area Required (SF) </t>
    </r>
    <r>
      <rPr>
        <b/>
        <i/>
        <u/>
        <sz val="16"/>
        <color theme="3"/>
        <rFont val="Arial"/>
        <family val="2"/>
        <scheme val="major"/>
      </rPr>
      <t>Includes Circulation</t>
    </r>
  </si>
  <si>
    <r>
      <rPr>
        <b/>
        <sz val="16"/>
        <color theme="5"/>
        <rFont val="Arial"/>
        <family val="2"/>
        <scheme val="major"/>
      </rPr>
      <t xml:space="preserve">BUSES AND VEHICLES ANTICIPATED TO BE </t>
    </r>
    <r>
      <rPr>
        <b/>
        <u/>
        <sz val="16"/>
        <color theme="5"/>
        <rFont val="Arial"/>
        <family val="2"/>
        <scheme val="major"/>
      </rPr>
      <t>DOMICILED</t>
    </r>
    <r>
      <rPr>
        <b/>
        <sz val="16"/>
        <color theme="5"/>
        <rFont val="Arial"/>
        <family val="2"/>
        <scheme val="major"/>
      </rPr>
      <t xml:space="preserve"> AT YOUR FACILITY</t>
    </r>
  </si>
  <si>
    <r>
      <t xml:space="preserve">Area Required (SF) </t>
    </r>
    <r>
      <rPr>
        <b/>
        <i/>
        <u/>
        <sz val="16"/>
        <color theme="3"/>
        <rFont val="Arial"/>
        <family val="2"/>
        <scheme val="major"/>
      </rPr>
      <t>Includes Circulation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</si>
</sst>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Century Gothic"/>
      <family val="2"/>
    </font>
    <font>
      <sz val="48"/>
      <name val="Century Gothic"/>
      <family val="2"/>
    </font>
    <font>
      <sz val="8"/>
      <name val="Century Gothic"/>
      <family val="2"/>
    </font>
    <font>
      <b/>
      <sz val="16"/>
      <name val="Century Gothic"/>
      <family val="2"/>
    </font>
    <font>
      <sz val="12"/>
      <name val="Century Gothic"/>
      <family val="2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26"/>
      <name val="Century Gothic"/>
      <family val="2"/>
    </font>
    <font>
      <b/>
      <sz val="36"/>
      <color theme="3" tint="-0.499984740745262"/>
      <name val="Century Gothic"/>
      <family val="2"/>
    </font>
    <font>
      <b/>
      <sz val="20"/>
      <color theme="3" tint="-0.499984740745262"/>
      <name val="Century Gothic"/>
      <family val="2"/>
    </font>
    <font>
      <sz val="11"/>
      <color theme="3" tint="-0.499984740745262"/>
      <name val="Century Gothic"/>
      <family val="2"/>
    </font>
    <font>
      <sz val="9"/>
      <name val="Century Gothic"/>
      <family val="2"/>
    </font>
    <font>
      <b/>
      <sz val="4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4"/>
      <color theme="3"/>
      <name val="Arial"/>
      <family val="2"/>
    </font>
    <font>
      <sz val="14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sz val="14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4"/>
      <color rgb="FF7030A0"/>
      <name val="Arial"/>
      <family val="2"/>
    </font>
    <font>
      <i/>
      <sz val="14"/>
      <color indexed="9"/>
      <name val="Arial"/>
      <family val="2"/>
    </font>
    <font>
      <b/>
      <i/>
      <sz val="14"/>
      <color indexed="9"/>
      <name val="Arial"/>
      <family val="2"/>
    </font>
    <font>
      <b/>
      <i/>
      <sz val="16"/>
      <color indexed="9"/>
      <name val="Arial"/>
      <family val="2"/>
    </font>
    <font>
      <sz val="16"/>
      <color theme="0" tint="-0.499984740745262"/>
      <name val="Arial"/>
      <family val="2"/>
    </font>
    <font>
      <b/>
      <sz val="16"/>
      <color theme="3"/>
      <name val="Arial"/>
      <family val="2"/>
    </font>
    <font>
      <b/>
      <sz val="26"/>
      <color indexed="9"/>
      <name val="Arial"/>
      <family val="2"/>
    </font>
    <font>
      <b/>
      <sz val="9"/>
      <color indexed="9"/>
      <name val="Arial"/>
      <family val="2"/>
    </font>
    <font>
      <b/>
      <i/>
      <sz val="22"/>
      <color indexed="9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color rgb="FF54585A"/>
      <name val="Arial"/>
      <family val="2"/>
    </font>
    <font>
      <b/>
      <sz val="16"/>
      <color rgb="FF54585A"/>
      <name val="Arial"/>
      <family val="2"/>
    </font>
    <font>
      <sz val="14"/>
      <color rgb="FF54585A"/>
      <name val="Arial"/>
      <family val="2"/>
    </font>
    <font>
      <b/>
      <sz val="12"/>
      <color rgb="FFFFC600"/>
      <name val="Arial"/>
      <family val="2"/>
    </font>
    <font>
      <b/>
      <i/>
      <sz val="12"/>
      <color rgb="FFFFC600"/>
      <name val="Arial"/>
      <family val="2"/>
    </font>
    <font>
      <b/>
      <sz val="16"/>
      <name val="Arial"/>
      <family val="2"/>
      <scheme val="major"/>
    </font>
    <font>
      <sz val="14"/>
      <name val="Arial"/>
      <family val="2"/>
      <scheme val="major"/>
    </font>
    <font>
      <b/>
      <sz val="14"/>
      <color theme="0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0"/>
      <name val="Arial"/>
      <family val="2"/>
      <scheme val="major"/>
    </font>
    <font>
      <sz val="18"/>
      <color theme="0"/>
      <name val="Arial"/>
      <family val="2"/>
      <scheme val="major"/>
    </font>
    <font>
      <b/>
      <sz val="36"/>
      <color theme="3" tint="-0.499984740745262"/>
      <name val="Arial"/>
      <family val="2"/>
      <scheme val="major"/>
    </font>
    <font>
      <sz val="36"/>
      <color theme="0"/>
      <name val="Arial"/>
      <family val="2"/>
      <scheme val="major"/>
    </font>
    <font>
      <b/>
      <sz val="36"/>
      <name val="Arial"/>
      <family val="2"/>
      <scheme val="major"/>
    </font>
    <font>
      <b/>
      <sz val="36"/>
      <name val="Arial"/>
      <family val="2"/>
    </font>
    <font>
      <sz val="10"/>
      <name val="Arial"/>
      <family val="2"/>
      <scheme val="major"/>
    </font>
    <font>
      <b/>
      <sz val="26"/>
      <name val="Arial"/>
      <family val="2"/>
      <scheme val="major"/>
    </font>
    <font>
      <b/>
      <sz val="16"/>
      <color theme="0"/>
      <name val="Arial"/>
      <family val="2"/>
      <scheme val="major"/>
    </font>
    <font>
      <sz val="16"/>
      <color theme="0"/>
      <name val="Arial"/>
      <family val="2"/>
      <scheme val="major"/>
    </font>
    <font>
      <sz val="28"/>
      <color theme="0"/>
      <name val="Arial"/>
      <family val="2"/>
      <scheme val="major"/>
    </font>
    <font>
      <sz val="14"/>
      <color theme="0"/>
      <name val="Arial"/>
      <family val="2"/>
      <scheme val="major"/>
    </font>
    <font>
      <b/>
      <u/>
      <sz val="18"/>
      <color theme="0"/>
      <name val="Arial"/>
      <family val="2"/>
      <scheme val="major"/>
    </font>
    <font>
      <b/>
      <sz val="28"/>
      <color theme="3" tint="-0.499984740745262"/>
      <name val="Arial"/>
      <family val="2"/>
      <scheme val="major"/>
    </font>
    <font>
      <sz val="11"/>
      <color theme="3" tint="-0.499984740745262"/>
      <name val="Arial"/>
      <family val="2"/>
      <scheme val="major"/>
    </font>
    <font>
      <sz val="20"/>
      <color theme="0"/>
      <name val="Arial"/>
      <family val="2"/>
      <scheme val="major"/>
    </font>
    <font>
      <b/>
      <sz val="22"/>
      <color theme="0"/>
      <name val="Arial"/>
      <family val="2"/>
      <scheme val="major"/>
    </font>
    <font>
      <b/>
      <sz val="16"/>
      <color rgb="FFFFFF00"/>
      <name val="Arial"/>
      <family val="2"/>
      <scheme val="major"/>
    </font>
    <font>
      <sz val="12"/>
      <color theme="0"/>
      <name val="Arial"/>
      <family val="2"/>
      <scheme val="major"/>
    </font>
    <font>
      <u/>
      <sz val="12"/>
      <color theme="0"/>
      <name val="Arial"/>
      <family val="2"/>
      <scheme val="major"/>
    </font>
    <font>
      <b/>
      <i/>
      <sz val="22"/>
      <color theme="4"/>
      <name val="Arial"/>
      <family val="2"/>
      <scheme val="major"/>
    </font>
    <font>
      <sz val="14"/>
      <color theme="4" tint="0.59999389629810485"/>
      <name val="Arial"/>
      <family val="2"/>
      <scheme val="major"/>
    </font>
    <font>
      <sz val="11"/>
      <color theme="4" tint="0.59999389629810485"/>
      <name val="Arial"/>
      <family val="2"/>
      <scheme val="major"/>
    </font>
    <font>
      <sz val="14"/>
      <color theme="4" tint="0.39997558519241921"/>
      <name val="Arial"/>
      <family val="2"/>
      <scheme val="major"/>
    </font>
    <font>
      <sz val="11"/>
      <color theme="4" tint="0.39997558519241921"/>
      <name val="Arial"/>
      <family val="2"/>
      <scheme val="major"/>
    </font>
    <font>
      <sz val="12"/>
      <name val="Arial"/>
      <family val="2"/>
      <scheme val="major"/>
    </font>
    <font>
      <sz val="12"/>
      <color theme="4" tint="0.39997558519241921"/>
      <name val="Arial"/>
      <family val="2"/>
      <scheme val="major"/>
    </font>
    <font>
      <sz val="36"/>
      <color theme="4"/>
      <name val="Arial"/>
      <family val="2"/>
      <scheme val="major"/>
    </font>
    <font>
      <b/>
      <sz val="20"/>
      <color theme="4" tint="0.59999389629810485"/>
      <name val="Arial"/>
      <family val="2"/>
      <scheme val="major"/>
    </font>
    <font>
      <i/>
      <sz val="14"/>
      <color theme="4" tint="0.39997558519241921"/>
      <name val="Arial"/>
      <family val="2"/>
      <scheme val="major"/>
    </font>
    <font>
      <sz val="18"/>
      <color theme="4" tint="0.59999389629810485"/>
      <name val="Arial"/>
      <family val="2"/>
      <scheme val="major"/>
    </font>
    <font>
      <sz val="24"/>
      <name val="Arial"/>
      <family val="2"/>
      <scheme val="major"/>
    </font>
    <font>
      <b/>
      <sz val="24"/>
      <name val="Arial"/>
      <family val="2"/>
      <scheme val="major"/>
    </font>
    <font>
      <b/>
      <sz val="18"/>
      <name val="Arial"/>
      <family val="2"/>
      <scheme val="major"/>
    </font>
    <font>
      <sz val="11"/>
      <color theme="1"/>
      <name val="Arial"/>
      <family val="2"/>
      <scheme val="major"/>
    </font>
    <font>
      <b/>
      <sz val="14"/>
      <color theme="3" tint="-0.499984740745262"/>
      <name val="Arial"/>
      <family val="2"/>
      <scheme val="major"/>
    </font>
    <font>
      <b/>
      <sz val="22"/>
      <color theme="4" tint="0.59999389629810485"/>
      <name val="Arial"/>
      <family val="2"/>
      <scheme val="major"/>
    </font>
    <font>
      <b/>
      <sz val="28"/>
      <color theme="4"/>
      <name val="Arial"/>
      <family val="2"/>
      <scheme val="major"/>
    </font>
    <font>
      <sz val="48"/>
      <name val="Arial"/>
      <family val="2"/>
      <scheme val="major"/>
    </font>
    <font>
      <b/>
      <i/>
      <sz val="14"/>
      <color rgb="FFFF0000"/>
      <name val="Arial"/>
      <family val="2"/>
      <scheme val="major"/>
    </font>
    <font>
      <b/>
      <sz val="22"/>
      <color theme="3" tint="-0.499984740745262"/>
      <name val="Arial"/>
      <family val="2"/>
      <scheme val="major"/>
    </font>
    <font>
      <sz val="22"/>
      <color theme="0"/>
      <name val="Arial"/>
      <family val="2"/>
      <scheme val="major"/>
    </font>
    <font>
      <sz val="14"/>
      <color theme="3" tint="-0.499984740745262"/>
      <name val="Arial"/>
      <family val="2"/>
      <scheme val="major"/>
    </font>
    <font>
      <sz val="18"/>
      <color theme="3" tint="-0.499984740745262"/>
      <name val="Arial"/>
      <family val="2"/>
      <scheme val="major"/>
    </font>
    <font>
      <b/>
      <u/>
      <sz val="20"/>
      <color theme="0"/>
      <name val="Arial"/>
      <family val="2"/>
      <scheme val="major"/>
    </font>
    <font>
      <b/>
      <sz val="24"/>
      <color theme="0"/>
      <name val="Arial"/>
      <family val="2"/>
      <scheme val="major"/>
    </font>
    <font>
      <b/>
      <i/>
      <sz val="20"/>
      <color theme="0"/>
      <name val="Arial"/>
      <family val="2"/>
      <scheme val="major"/>
    </font>
    <font>
      <b/>
      <sz val="18"/>
      <color theme="4" tint="0.59999389629810485"/>
      <name val="Arial"/>
      <family val="2"/>
      <scheme val="major"/>
    </font>
    <font>
      <b/>
      <sz val="11"/>
      <color theme="0"/>
      <name val="Arial"/>
      <family val="2"/>
      <scheme val="minor"/>
    </font>
    <font>
      <b/>
      <sz val="11"/>
      <color theme="4"/>
      <name val="Arial"/>
      <family val="2"/>
      <scheme val="minor"/>
    </font>
    <font>
      <b/>
      <sz val="16"/>
      <color theme="5"/>
      <name val="Arial"/>
      <family val="2"/>
      <scheme val="major"/>
    </font>
    <font>
      <b/>
      <sz val="16"/>
      <color theme="3"/>
      <name val="Arial"/>
      <family val="2"/>
      <scheme val="major"/>
    </font>
    <font>
      <b/>
      <i/>
      <u/>
      <sz val="16"/>
      <color theme="3"/>
      <name val="Arial"/>
      <family val="2"/>
      <scheme val="major"/>
    </font>
    <font>
      <b/>
      <sz val="14"/>
      <color theme="3"/>
      <name val="Arial"/>
      <family val="2"/>
      <scheme val="major"/>
    </font>
    <font>
      <b/>
      <sz val="36"/>
      <color theme="2"/>
      <name val="Arial"/>
      <family val="2"/>
      <scheme val="major"/>
    </font>
    <font>
      <b/>
      <u/>
      <sz val="16"/>
      <color theme="5"/>
      <name val="Arial"/>
      <family val="2"/>
      <scheme val="major"/>
    </font>
    <font>
      <b/>
      <sz val="36"/>
      <color theme="0"/>
      <name val="Arial"/>
      <family val="2"/>
      <scheme val="major"/>
    </font>
    <font>
      <sz val="16"/>
      <color theme="3"/>
      <name val="Arial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98B5"/>
        <bgColor indexed="64"/>
      </patternFill>
    </fill>
    <fill>
      <patternFill patternType="solid">
        <fgColor rgb="FF54585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2" tint="-0.89999084444715716"/>
      </left>
      <right/>
      <top style="medium">
        <color theme="2" tint="-0.89999084444715716"/>
      </top>
      <bottom/>
      <diagonal/>
    </border>
    <border>
      <left/>
      <right/>
      <top style="medium">
        <color theme="2" tint="-0.89999084444715716"/>
      </top>
      <bottom/>
      <diagonal/>
    </border>
    <border>
      <left style="medium">
        <color theme="2" tint="-0.89999084444715716"/>
      </left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theme="0"/>
      </bottom>
      <diagonal/>
    </border>
    <border>
      <left/>
      <right style="medium">
        <color indexed="9"/>
      </right>
      <top style="thick">
        <color rgb="FFC00000"/>
      </top>
      <bottom style="thick">
        <color theme="0"/>
      </bottom>
      <diagonal/>
    </border>
    <border>
      <left style="medium">
        <color indexed="9"/>
      </left>
      <right style="medium">
        <color indexed="9"/>
      </right>
      <top style="thick">
        <color rgb="FFC00000"/>
      </top>
      <bottom style="medium">
        <color indexed="9"/>
      </bottom>
      <diagonal/>
    </border>
    <border>
      <left style="medium">
        <color indexed="9"/>
      </left>
      <right style="thick">
        <color rgb="FFC00000"/>
      </right>
      <top style="thick">
        <color rgb="FFC00000"/>
      </top>
      <bottom style="medium">
        <color indexed="9"/>
      </bottom>
      <diagonal/>
    </border>
    <border>
      <left style="thick">
        <color rgb="FFC00000"/>
      </left>
      <right/>
      <top style="thick">
        <color theme="0"/>
      </top>
      <bottom style="thick">
        <color rgb="FFC00000"/>
      </bottom>
      <diagonal/>
    </border>
    <border>
      <left/>
      <right style="medium">
        <color indexed="9"/>
      </right>
      <top style="thick">
        <color theme="0"/>
      </top>
      <bottom style="thick">
        <color rgb="FFC0000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rgb="FFC00000"/>
      </bottom>
      <diagonal/>
    </border>
    <border>
      <left style="medium">
        <color indexed="9"/>
      </left>
      <right style="thick">
        <color rgb="FFC00000"/>
      </right>
      <top style="medium">
        <color indexed="9"/>
      </top>
      <bottom style="thick">
        <color rgb="FFC0000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/>
      <top style="thick">
        <color auto="1"/>
      </top>
      <bottom style="double">
        <color indexed="64"/>
      </bottom>
      <diagonal/>
    </border>
    <border>
      <left/>
      <right/>
      <top style="thick">
        <color auto="1"/>
      </top>
      <bottom style="double">
        <color indexed="64"/>
      </bottom>
      <diagonal/>
    </border>
    <border>
      <left/>
      <right style="thick">
        <color auto="1"/>
      </right>
      <top style="thick">
        <color auto="1"/>
      </top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medium">
        <color theme="0"/>
      </bottom>
      <diagonal/>
    </border>
    <border>
      <left style="medium">
        <color theme="2" tint="-0.89999084444715716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medium">
        <color theme="2" tint="-0.89999084444715716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ck">
        <color theme="4"/>
      </left>
      <right style="thick">
        <color theme="4"/>
      </right>
      <top style="thick">
        <color theme="0"/>
      </top>
      <bottom style="thick">
        <color theme="0"/>
      </bottom>
      <diagonal/>
    </border>
    <border>
      <left style="thick">
        <color theme="4"/>
      </left>
      <right style="thick">
        <color theme="4"/>
      </right>
      <top/>
      <bottom style="thick">
        <color theme="0"/>
      </bottom>
      <diagonal/>
    </border>
    <border>
      <left style="thick">
        <color theme="4"/>
      </left>
      <right style="thick">
        <color theme="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3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5" fontId="4" fillId="0" borderId="0" xfId="0" applyNumberFormat="1" applyFont="1" applyAlignment="1">
      <alignment vertical="top"/>
    </xf>
    <xf numFmtId="0" fontId="2" fillId="0" borderId="0" xfId="0" applyFont="1"/>
    <xf numFmtId="164" fontId="2" fillId="0" borderId="0" xfId="0" applyNumberFormat="1" applyFont="1"/>
    <xf numFmtId="0" fontId="6" fillId="0" borderId="0" xfId="0" applyFont="1"/>
    <xf numFmtId="0" fontId="8" fillId="0" borderId="0" xfId="0" applyFont="1"/>
    <xf numFmtId="3" fontId="8" fillId="0" borderId="0" xfId="0" applyNumberFormat="1" applyFont="1" applyAlignment="1">
      <alignment horizontal="right"/>
    </xf>
    <xf numFmtId="0" fontId="6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/>
    <xf numFmtId="0" fontId="9" fillId="0" borderId="0" xfId="0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5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2" xfId="0" applyBorder="1"/>
    <xf numFmtId="0" fontId="0" fillId="0" borderId="23" xfId="0" applyBorder="1"/>
    <xf numFmtId="0" fontId="9" fillId="0" borderId="24" xfId="0" applyFont="1" applyBorder="1" applyAlignment="1">
      <alignment vertical="center" wrapText="1"/>
    </xf>
    <xf numFmtId="0" fontId="0" fillId="0" borderId="25" xfId="0" applyBorder="1"/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8" fillId="0" borderId="0" xfId="0" applyFont="1" applyAlignment="1">
      <alignment vertical="center"/>
    </xf>
    <xf numFmtId="9" fontId="0" fillId="0" borderId="0" xfId="2" applyFont="1"/>
    <xf numFmtId="9" fontId="0" fillId="0" borderId="0" xfId="0" applyNumberFormat="1"/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5" fontId="19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vertical="center"/>
    </xf>
    <xf numFmtId="164" fontId="15" fillId="0" borderId="6" xfId="0" applyNumberFormat="1" applyFont="1" applyBorder="1" applyAlignment="1">
      <alignment vertical="center"/>
    </xf>
    <xf numFmtId="164" fontId="16" fillId="0" borderId="6" xfId="0" applyNumberFormat="1" applyFont="1" applyBorder="1" applyAlignment="1">
      <alignment vertical="center" wrapText="1"/>
    </xf>
    <xf numFmtId="0" fontId="26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vertical="center"/>
    </xf>
    <xf numFmtId="164" fontId="17" fillId="0" borderId="6" xfId="0" applyNumberFormat="1" applyFont="1" applyBorder="1" applyAlignment="1">
      <alignment vertical="center"/>
    </xf>
    <xf numFmtId="164" fontId="17" fillId="0" borderId="6" xfId="0" applyNumberFormat="1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164" fontId="28" fillId="0" borderId="0" xfId="1" applyNumberFormat="1" applyFont="1" applyBorder="1" applyAlignment="1">
      <alignment vertical="center"/>
    </xf>
    <xf numFmtId="3" fontId="29" fillId="0" borderId="6" xfId="0" applyNumberFormat="1" applyFont="1" applyBorder="1" applyAlignment="1">
      <alignment vertical="center"/>
    </xf>
    <xf numFmtId="3" fontId="30" fillId="0" borderId="6" xfId="0" applyNumberFormat="1" applyFont="1" applyBorder="1" applyAlignment="1">
      <alignment vertical="center" wrapText="1"/>
    </xf>
    <xf numFmtId="165" fontId="29" fillId="0" borderId="6" xfId="1" applyNumberFormat="1" applyFont="1" applyBorder="1" applyAlignment="1">
      <alignment vertical="center"/>
    </xf>
    <xf numFmtId="164" fontId="29" fillId="0" borderId="6" xfId="1" applyNumberFormat="1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3" fontId="29" fillId="0" borderId="6" xfId="0" applyNumberFormat="1" applyFont="1" applyFill="1" applyBorder="1" applyAlignment="1">
      <alignment vertical="center"/>
    </xf>
    <xf numFmtId="3" fontId="30" fillId="0" borderId="6" xfId="0" applyNumberFormat="1" applyFont="1" applyFill="1" applyBorder="1" applyAlignment="1">
      <alignment vertical="center" wrapText="1"/>
    </xf>
    <xf numFmtId="0" fontId="26" fillId="0" borderId="2" xfId="0" applyFont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164" fontId="26" fillId="0" borderId="3" xfId="0" applyNumberFormat="1" applyFont="1" applyBorder="1" applyAlignment="1">
      <alignment vertical="center"/>
    </xf>
    <xf numFmtId="3" fontId="31" fillId="0" borderId="7" xfId="0" applyNumberFormat="1" applyFont="1" applyBorder="1" applyAlignment="1">
      <alignment vertical="center"/>
    </xf>
    <xf numFmtId="3" fontId="32" fillId="0" borderId="7" xfId="0" applyNumberFormat="1" applyFont="1" applyBorder="1" applyAlignment="1">
      <alignment vertical="center" wrapText="1"/>
    </xf>
    <xf numFmtId="165" fontId="31" fillId="0" borderId="7" xfId="1" applyNumberFormat="1" applyFont="1" applyBorder="1" applyAlignment="1">
      <alignment vertical="center"/>
    </xf>
    <xf numFmtId="164" fontId="31" fillId="0" borderId="7" xfId="1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5" fontId="29" fillId="0" borderId="6" xfId="0" applyNumberFormat="1" applyFont="1" applyBorder="1" applyAlignment="1">
      <alignment vertical="center"/>
    </xf>
    <xf numFmtId="164" fontId="29" fillId="0" borderId="6" xfId="0" applyNumberFormat="1" applyFont="1" applyBorder="1" applyAlignment="1">
      <alignment vertical="center"/>
    </xf>
    <xf numFmtId="3" fontId="29" fillId="0" borderId="6" xfId="0" applyNumberFormat="1" applyFont="1" applyBorder="1" applyAlignment="1">
      <alignment horizontal="right" vertical="center"/>
    </xf>
    <xf numFmtId="164" fontId="33" fillId="0" borderId="0" xfId="1" applyNumberFormat="1" applyFont="1" applyBorder="1" applyAlignment="1">
      <alignment vertical="center"/>
    </xf>
    <xf numFmtId="164" fontId="17" fillId="0" borderId="0" xfId="1" applyNumberFormat="1" applyFont="1" applyBorder="1" applyAlignment="1">
      <alignment vertical="center"/>
    </xf>
    <xf numFmtId="164" fontId="29" fillId="0" borderId="6" xfId="0" applyNumberFormat="1" applyFont="1" applyBorder="1" applyAlignment="1">
      <alignment vertical="center" wrapText="1"/>
    </xf>
    <xf numFmtId="0" fontId="26" fillId="0" borderId="3" xfId="0" applyFont="1" applyBorder="1" applyAlignment="1">
      <alignment vertical="center"/>
    </xf>
    <xf numFmtId="3" fontId="29" fillId="0" borderId="34" xfId="0" applyNumberFormat="1" applyFont="1" applyBorder="1" applyAlignment="1">
      <alignment vertical="center"/>
    </xf>
    <xf numFmtId="164" fontId="31" fillId="0" borderId="7" xfId="0" applyNumberFormat="1" applyFont="1" applyBorder="1" applyAlignment="1">
      <alignment vertical="center" wrapText="1"/>
    </xf>
    <xf numFmtId="165" fontId="17" fillId="0" borderId="6" xfId="0" applyNumberFormat="1" applyFont="1" applyBorder="1" applyAlignment="1">
      <alignment vertical="center"/>
    </xf>
    <xf numFmtId="165" fontId="27" fillId="0" borderId="6" xfId="0" applyNumberFormat="1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165" fontId="37" fillId="0" borderId="6" xfId="0" applyNumberFormat="1" applyFont="1" applyBorder="1" applyAlignment="1">
      <alignment vertical="center"/>
    </xf>
    <xf numFmtId="9" fontId="17" fillId="0" borderId="0" xfId="2" applyFont="1" applyBorder="1" applyAlignment="1">
      <alignment vertical="center"/>
    </xf>
    <xf numFmtId="165" fontId="38" fillId="0" borderId="6" xfId="0" applyNumberFormat="1" applyFont="1" applyBorder="1" applyAlignment="1">
      <alignment vertical="center"/>
    </xf>
    <xf numFmtId="164" fontId="17" fillId="0" borderId="0" xfId="2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165" fontId="15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65" fontId="24" fillId="0" borderId="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164" fontId="23" fillId="4" borderId="13" xfId="0" applyNumberFormat="1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 wrapText="1"/>
    </xf>
    <xf numFmtId="164" fontId="23" fillId="4" borderId="14" xfId="0" applyNumberFormat="1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 wrapText="1"/>
    </xf>
    <xf numFmtId="164" fontId="25" fillId="4" borderId="17" xfId="0" applyNumberFormat="1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right" vertical="center"/>
    </xf>
    <xf numFmtId="0" fontId="35" fillId="5" borderId="6" xfId="0" applyFont="1" applyFill="1" applyBorder="1" applyAlignment="1">
      <alignment horizontal="center" vertical="center"/>
    </xf>
    <xf numFmtId="164" fontId="35" fillId="5" borderId="0" xfId="0" applyNumberFormat="1" applyFont="1" applyFill="1" applyBorder="1" applyAlignment="1">
      <alignment vertical="center"/>
    </xf>
    <xf numFmtId="164" fontId="35" fillId="5" borderId="6" xfId="0" applyNumberFormat="1" applyFont="1" applyFill="1" applyBorder="1" applyAlignment="1">
      <alignment vertical="center"/>
    </xf>
    <xf numFmtId="164" fontId="35" fillId="5" borderId="6" xfId="0" applyNumberFormat="1" applyFont="1" applyFill="1" applyBorder="1" applyAlignment="1">
      <alignment vertical="center" wrapText="1"/>
    </xf>
    <xf numFmtId="165" fontId="35" fillId="5" borderId="6" xfId="1" applyNumberFormat="1" applyFont="1" applyFill="1" applyBorder="1" applyAlignment="1">
      <alignment vertical="center"/>
    </xf>
    <xf numFmtId="164" fontId="35" fillId="5" borderId="6" xfId="1" applyNumberFormat="1" applyFont="1" applyFill="1" applyBorder="1" applyAlignment="1">
      <alignment vertical="center"/>
    </xf>
    <xf numFmtId="165" fontId="36" fillId="5" borderId="6" xfId="0" applyNumberFormat="1" applyFont="1" applyFill="1" applyBorder="1" applyAlignment="1">
      <alignment vertical="center"/>
    </xf>
    <xf numFmtId="0" fontId="35" fillId="5" borderId="6" xfId="0" applyFont="1" applyFill="1" applyBorder="1" applyAlignment="1">
      <alignment vertical="center"/>
    </xf>
    <xf numFmtId="0" fontId="35" fillId="5" borderId="6" xfId="0" applyFont="1" applyFill="1" applyBorder="1" applyAlignment="1">
      <alignment vertical="center" wrapText="1"/>
    </xf>
    <xf numFmtId="165" fontId="35" fillId="5" borderId="6" xfId="0" applyNumberFormat="1" applyFont="1" applyFill="1" applyBorder="1" applyAlignment="1">
      <alignment vertical="center"/>
    </xf>
    <xf numFmtId="0" fontId="39" fillId="5" borderId="2" xfId="0" applyFont="1" applyFill="1" applyBorder="1" applyAlignment="1">
      <alignment vertical="center"/>
    </xf>
    <xf numFmtId="0" fontId="25" fillId="5" borderId="3" xfId="0" applyFont="1" applyFill="1" applyBorder="1" applyAlignment="1">
      <alignment vertical="center"/>
    </xf>
    <xf numFmtId="0" fontId="25" fillId="5" borderId="3" xfId="0" applyFont="1" applyFill="1" applyBorder="1" applyAlignment="1">
      <alignment horizontal="center" vertical="center"/>
    </xf>
    <xf numFmtId="164" fontId="25" fillId="5" borderId="3" xfId="0" applyNumberFormat="1" applyFont="1" applyFill="1" applyBorder="1" applyAlignment="1">
      <alignment vertical="center"/>
    </xf>
    <xf numFmtId="0" fontId="40" fillId="5" borderId="3" xfId="0" applyFont="1" applyFill="1" applyBorder="1" applyAlignment="1">
      <alignment vertical="center" wrapText="1"/>
    </xf>
    <xf numFmtId="164" fontId="25" fillId="5" borderId="3" xfId="0" applyNumberFormat="1" applyFont="1" applyFill="1" applyBorder="1" applyAlignment="1">
      <alignment horizontal="right" vertical="center"/>
    </xf>
    <xf numFmtId="165" fontId="41" fillId="5" borderId="3" xfId="0" applyNumberFormat="1" applyFont="1" applyFill="1" applyBorder="1" applyAlignment="1">
      <alignment vertical="center"/>
    </xf>
    <xf numFmtId="164" fontId="46" fillId="0" borderId="0" xfId="1" applyNumberFormat="1" applyFont="1" applyBorder="1" applyAlignment="1">
      <alignment vertical="center"/>
    </xf>
    <xf numFmtId="164" fontId="46" fillId="0" borderId="0" xfId="1" applyNumberFormat="1" applyFont="1" applyFill="1" applyBorder="1" applyAlignment="1">
      <alignment vertical="center"/>
    </xf>
    <xf numFmtId="164" fontId="46" fillId="0" borderId="0" xfId="2" applyNumberFormat="1" applyFont="1" applyBorder="1" applyAlignment="1">
      <alignment vertical="center"/>
    </xf>
    <xf numFmtId="164" fontId="15" fillId="3" borderId="6" xfId="0" applyNumberFormat="1" applyFont="1" applyFill="1" applyBorder="1" applyAlignment="1">
      <alignment vertical="center"/>
    </xf>
    <xf numFmtId="164" fontId="27" fillId="3" borderId="6" xfId="0" applyNumberFormat="1" applyFont="1" applyFill="1" applyBorder="1" applyAlignment="1">
      <alignment vertical="center"/>
    </xf>
    <xf numFmtId="165" fontId="27" fillId="3" borderId="6" xfId="1" applyNumberFormat="1" applyFont="1" applyFill="1" applyBorder="1" applyAlignment="1">
      <alignment vertical="center"/>
    </xf>
    <xf numFmtId="165" fontId="20" fillId="3" borderId="7" xfId="1" applyNumberFormat="1" applyFont="1" applyFill="1" applyBorder="1" applyAlignment="1">
      <alignment vertical="center"/>
    </xf>
    <xf numFmtId="165" fontId="27" fillId="3" borderId="6" xfId="0" applyNumberFormat="1" applyFont="1" applyFill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0" fontId="20" fillId="3" borderId="3" xfId="0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vertical="center"/>
    </xf>
    <xf numFmtId="0" fontId="42" fillId="3" borderId="3" xfId="0" applyFont="1" applyFill="1" applyBorder="1" applyAlignment="1">
      <alignment vertical="center" wrapText="1"/>
    </xf>
    <xf numFmtId="164" fontId="20" fillId="3" borderId="3" xfId="0" applyNumberFormat="1" applyFont="1" applyFill="1" applyBorder="1" applyAlignment="1">
      <alignment horizontal="right" vertical="center"/>
    </xf>
    <xf numFmtId="165" fontId="43" fillId="3" borderId="4" xfId="0" applyNumberFormat="1" applyFont="1" applyFill="1" applyBorder="1" applyAlignment="1">
      <alignment vertical="center"/>
    </xf>
    <xf numFmtId="164" fontId="17" fillId="3" borderId="6" xfId="0" applyNumberFormat="1" applyFont="1" applyFill="1" applyBorder="1" applyAlignment="1">
      <alignment vertical="center"/>
    </xf>
    <xf numFmtId="165" fontId="17" fillId="3" borderId="6" xfId="1" applyNumberFormat="1" applyFont="1" applyFill="1" applyBorder="1" applyAlignment="1">
      <alignment vertical="center"/>
    </xf>
    <xf numFmtId="165" fontId="26" fillId="3" borderId="7" xfId="1" applyNumberFormat="1" applyFont="1" applyFill="1" applyBorder="1" applyAlignment="1">
      <alignment vertical="center"/>
    </xf>
    <xf numFmtId="165" fontId="17" fillId="3" borderId="6" xfId="0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1" xfId="0" applyFont="1" applyBorder="1" applyAlignment="1">
      <alignment vertical="center" wrapText="1"/>
    </xf>
    <xf numFmtId="164" fontId="49" fillId="4" borderId="17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Protection="1">
      <protection locked="0"/>
    </xf>
    <xf numFmtId="0" fontId="7" fillId="7" borderId="0" xfId="0" applyFont="1" applyFill="1" applyBorder="1" applyProtection="1">
      <protection locked="0"/>
    </xf>
    <xf numFmtId="0" fontId="7" fillId="7" borderId="0" xfId="0" applyFont="1" applyFill="1" applyBorder="1"/>
    <xf numFmtId="0" fontId="12" fillId="7" borderId="0" xfId="0" applyFont="1" applyFill="1" applyBorder="1" applyProtection="1">
      <protection locked="0"/>
    </xf>
    <xf numFmtId="0" fontId="11" fillId="7" borderId="0" xfId="0" applyFont="1" applyFill="1" applyBorder="1" applyAlignment="1" applyProtection="1">
      <alignment vertical="center"/>
      <protection locked="0"/>
    </xf>
    <xf numFmtId="0" fontId="55" fillId="7" borderId="0" xfId="0" applyFont="1" applyFill="1" applyBorder="1" applyProtection="1">
      <protection locked="0"/>
    </xf>
    <xf numFmtId="0" fontId="55" fillId="7" borderId="0" xfId="0" applyFont="1" applyFill="1" applyBorder="1"/>
    <xf numFmtId="0" fontId="56" fillId="7" borderId="10" xfId="0" applyFont="1" applyFill="1" applyBorder="1" applyAlignment="1" applyProtection="1">
      <alignment horizontal="left" vertical="center" wrapText="1"/>
      <protection locked="0"/>
    </xf>
    <xf numFmtId="0" fontId="55" fillId="7" borderId="0" xfId="0" applyFont="1" applyFill="1" applyBorder="1" applyAlignment="1" applyProtection="1">
      <alignment horizontal="center" vertical="center" wrapText="1"/>
      <protection locked="0"/>
    </xf>
    <xf numFmtId="0" fontId="56" fillId="7" borderId="0" xfId="0" applyFont="1" applyFill="1" applyBorder="1" applyAlignment="1" applyProtection="1">
      <alignment horizontal="center" vertical="center"/>
      <protection locked="0"/>
    </xf>
    <xf numFmtId="0" fontId="55" fillId="7" borderId="0" xfId="0" applyFont="1" applyFill="1" applyBorder="1" applyAlignment="1" applyProtection="1">
      <alignment wrapText="1"/>
      <protection locked="0"/>
    </xf>
    <xf numFmtId="0" fontId="58" fillId="7" borderId="0" xfId="0" applyFont="1" applyFill="1" applyBorder="1" applyProtection="1">
      <protection locked="0"/>
    </xf>
    <xf numFmtId="0" fontId="58" fillId="7" borderId="0" xfId="0" applyFont="1" applyFill="1" applyBorder="1" applyAlignment="1" applyProtection="1">
      <alignment horizontal="center" vertical="center"/>
      <protection locked="0"/>
    </xf>
    <xf numFmtId="0" fontId="53" fillId="7" borderId="0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 applyProtection="1">
      <alignment horizontal="center" vertical="center"/>
      <protection locked="0"/>
    </xf>
    <xf numFmtId="3" fontId="10" fillId="7" borderId="0" xfId="0" applyNumberFormat="1" applyFont="1" applyFill="1" applyBorder="1" applyAlignment="1" applyProtection="1">
      <alignment horizontal="center" vertical="center"/>
      <protection locked="0"/>
    </xf>
    <xf numFmtId="0" fontId="56" fillId="7" borderId="0" xfId="0" applyFont="1" applyFill="1" applyBorder="1" applyAlignment="1" applyProtection="1">
      <alignment horizontal="left" vertical="center" wrapText="1"/>
      <protection locked="0"/>
    </xf>
    <xf numFmtId="0" fontId="55" fillId="7" borderId="0" xfId="0" applyFont="1" applyFill="1" applyBorder="1" applyAlignment="1" applyProtection="1">
      <alignment horizontal="left" vertical="center" wrapText="1"/>
      <protection locked="0"/>
    </xf>
    <xf numFmtId="0" fontId="8" fillId="0" borderId="35" xfId="0" applyFont="1" applyBorder="1"/>
    <xf numFmtId="164" fontId="2" fillId="0" borderId="0" xfId="0" applyNumberFormat="1" applyFont="1" applyBorder="1"/>
    <xf numFmtId="0" fontId="60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61" fillId="0" borderId="1" xfId="0" applyFont="1" applyBorder="1" applyAlignment="1">
      <alignment vertical="center"/>
    </xf>
    <xf numFmtId="0" fontId="61" fillId="0" borderId="1" xfId="0" applyFont="1" applyBorder="1" applyAlignment="1">
      <alignment vertical="center" wrapText="1"/>
    </xf>
    <xf numFmtId="0" fontId="62" fillId="0" borderId="1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164" fontId="61" fillId="0" borderId="0" xfId="0" applyNumberFormat="1" applyFont="1" applyAlignment="1">
      <alignment vertical="center"/>
    </xf>
    <xf numFmtId="0" fontId="61" fillId="0" borderId="39" xfId="0" applyFont="1" applyBorder="1" applyAlignment="1">
      <alignment vertical="center"/>
    </xf>
    <xf numFmtId="0" fontId="61" fillId="0" borderId="39" xfId="0" applyFont="1" applyBorder="1" applyAlignment="1">
      <alignment vertical="center" wrapText="1"/>
    </xf>
    <xf numFmtId="0" fontId="55" fillId="7" borderId="20" xfId="0" applyFont="1" applyFill="1" applyBorder="1" applyAlignment="1">
      <alignment horizontal="center" vertical="center" wrapText="1"/>
    </xf>
    <xf numFmtId="0" fontId="55" fillId="7" borderId="20" xfId="0" applyFont="1" applyFill="1" applyBorder="1" applyAlignment="1">
      <alignment vertical="center"/>
    </xf>
    <xf numFmtId="0" fontId="65" fillId="7" borderId="20" xfId="0" applyFont="1" applyFill="1" applyBorder="1" applyAlignment="1">
      <alignment horizontal="center" vertical="center"/>
    </xf>
    <xf numFmtId="0" fontId="66" fillId="7" borderId="10" xfId="0" applyFont="1" applyFill="1" applyBorder="1" applyAlignment="1">
      <alignment horizontal="center" vertical="center" wrapText="1"/>
    </xf>
    <xf numFmtId="0" fontId="66" fillId="7" borderId="0" xfId="0" applyFont="1" applyFill="1" applyBorder="1" applyAlignment="1">
      <alignment horizontal="center" vertical="center" wrapText="1"/>
    </xf>
    <xf numFmtId="0" fontId="55" fillId="7" borderId="0" xfId="0" applyFont="1" applyFill="1" applyBorder="1" applyAlignment="1">
      <alignment vertical="center"/>
    </xf>
    <xf numFmtId="0" fontId="67" fillId="7" borderId="10" xfId="0" applyFont="1" applyFill="1" applyBorder="1" applyAlignment="1">
      <alignment vertical="center"/>
    </xf>
    <xf numFmtId="0" fontId="66" fillId="7" borderId="10" xfId="0" applyFont="1" applyFill="1" applyBorder="1" applyAlignment="1">
      <alignment horizontal="left" vertical="center" wrapText="1"/>
    </xf>
    <xf numFmtId="0" fontId="56" fillId="7" borderId="0" xfId="0" applyFont="1" applyFill="1" applyBorder="1" applyAlignment="1">
      <alignment horizontal="center" vertical="center"/>
    </xf>
    <xf numFmtId="1" fontId="56" fillId="7" borderId="0" xfId="0" applyNumberFormat="1" applyFont="1" applyFill="1" applyBorder="1" applyAlignment="1">
      <alignment horizontal="center" vertical="center"/>
    </xf>
    <xf numFmtId="0" fontId="66" fillId="7" borderId="0" xfId="0" applyFont="1" applyFill="1" applyBorder="1" applyAlignment="1">
      <alignment vertical="center" wrapText="1"/>
    </xf>
    <xf numFmtId="0" fontId="65" fillId="7" borderId="0" xfId="0" applyFont="1" applyFill="1" applyBorder="1" applyAlignment="1">
      <alignment vertical="center"/>
    </xf>
    <xf numFmtId="0" fontId="65" fillId="7" borderId="0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left" vertical="center" wrapText="1"/>
    </xf>
    <xf numFmtId="0" fontId="55" fillId="7" borderId="0" xfId="0" applyFont="1" applyFill="1" applyBorder="1" applyAlignment="1">
      <alignment horizontal="center" vertical="center" wrapText="1"/>
    </xf>
    <xf numFmtId="0" fontId="69" fillId="7" borderId="0" xfId="0" applyFont="1" applyFill="1" applyBorder="1" applyAlignment="1">
      <alignment vertical="center"/>
    </xf>
    <xf numFmtId="0" fontId="70" fillId="7" borderId="10" xfId="0" applyFont="1" applyFill="1" applyBorder="1" applyAlignment="1">
      <alignment vertical="center"/>
    </xf>
    <xf numFmtId="0" fontId="71" fillId="7" borderId="10" xfId="0" applyFont="1" applyFill="1" applyBorder="1" applyAlignment="1">
      <alignment vertical="center"/>
    </xf>
    <xf numFmtId="0" fontId="58" fillId="7" borderId="0" xfId="0" applyFont="1" applyFill="1" applyBorder="1" applyAlignment="1">
      <alignment horizontal="center" vertical="center"/>
    </xf>
    <xf numFmtId="0" fontId="66" fillId="7" borderId="0" xfId="0" applyFont="1" applyFill="1" applyBorder="1" applyAlignment="1">
      <alignment horizontal="center" vertical="center"/>
    </xf>
    <xf numFmtId="0" fontId="58" fillId="7" borderId="0" xfId="0" applyFont="1" applyFill="1" applyBorder="1" applyAlignment="1">
      <alignment vertical="center"/>
    </xf>
    <xf numFmtId="0" fontId="66" fillId="7" borderId="10" xfId="0" applyFont="1" applyFill="1" applyBorder="1" applyAlignment="1">
      <alignment vertical="center"/>
    </xf>
    <xf numFmtId="1" fontId="65" fillId="7" borderId="0" xfId="0" applyNumberFormat="1" applyFont="1" applyFill="1" applyBorder="1" applyAlignment="1">
      <alignment vertical="center"/>
    </xf>
    <xf numFmtId="0" fontId="66" fillId="7" borderId="0" xfId="0" applyFont="1" applyFill="1" applyBorder="1" applyAlignment="1">
      <alignment vertical="center"/>
    </xf>
    <xf numFmtId="0" fontId="53" fillId="7" borderId="10" xfId="0" applyFont="1" applyFill="1" applyBorder="1" applyAlignment="1">
      <alignment horizontal="left" vertical="center" wrapText="1"/>
    </xf>
    <xf numFmtId="0" fontId="56" fillId="7" borderId="0" xfId="0" quotePrefix="1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left" vertical="center" wrapText="1"/>
    </xf>
    <xf numFmtId="0" fontId="66" fillId="7" borderId="10" xfId="0" applyFont="1" applyFill="1" applyBorder="1" applyAlignment="1" applyProtection="1">
      <alignment horizontal="left" vertical="center" wrapText="1"/>
      <protection locked="0"/>
    </xf>
    <xf numFmtId="0" fontId="64" fillId="7" borderId="10" xfId="0" applyFont="1" applyFill="1" applyBorder="1" applyAlignment="1">
      <alignment horizontal="left" vertical="center" wrapText="1"/>
    </xf>
    <xf numFmtId="0" fontId="68" fillId="2" borderId="0" xfId="0" applyFont="1" applyFill="1" applyBorder="1" applyAlignment="1">
      <alignment horizontal="center" vertical="center"/>
    </xf>
    <xf numFmtId="3" fontId="68" fillId="2" borderId="0" xfId="0" applyNumberFormat="1" applyFont="1" applyFill="1" applyBorder="1" applyAlignment="1">
      <alignment horizontal="center" vertical="center"/>
    </xf>
    <xf numFmtId="1" fontId="68" fillId="2" borderId="0" xfId="0" applyNumberFormat="1" applyFont="1" applyFill="1" applyBorder="1" applyAlignment="1">
      <alignment horizontal="center" vertical="center"/>
    </xf>
    <xf numFmtId="0" fontId="63" fillId="7" borderId="0" xfId="0" applyFont="1" applyFill="1" applyBorder="1" applyAlignment="1">
      <alignment horizontal="center" vertical="center" wrapText="1"/>
    </xf>
    <xf numFmtId="1" fontId="75" fillId="2" borderId="0" xfId="0" applyNumberFormat="1" applyFont="1" applyFill="1" applyBorder="1" applyAlignment="1">
      <alignment horizontal="center" vertical="center"/>
    </xf>
    <xf numFmtId="1" fontId="75" fillId="7" borderId="0" xfId="0" applyNumberFormat="1" applyFont="1" applyFill="1" applyBorder="1" applyAlignment="1">
      <alignment vertical="center"/>
    </xf>
    <xf numFmtId="1" fontId="75" fillId="7" borderId="0" xfId="0" applyNumberFormat="1" applyFont="1" applyFill="1" applyBorder="1" applyAlignment="1">
      <alignment horizontal="center" vertical="center"/>
    </xf>
    <xf numFmtId="1" fontId="82" fillId="7" borderId="0" xfId="0" applyNumberFormat="1" applyFont="1" applyFill="1" applyBorder="1" applyAlignment="1">
      <alignment vertical="center"/>
    </xf>
    <xf numFmtId="0" fontId="83" fillId="7" borderId="10" xfId="0" applyFont="1" applyFill="1" applyBorder="1" applyAlignment="1">
      <alignment vertical="center"/>
    </xf>
    <xf numFmtId="0" fontId="84" fillId="7" borderId="10" xfId="0" applyFont="1" applyFill="1" applyBorder="1" applyAlignment="1">
      <alignment horizontal="left" vertical="center" wrapText="1"/>
    </xf>
    <xf numFmtId="0" fontId="77" fillId="7" borderId="0" xfId="0" applyFont="1" applyFill="1" applyBorder="1" applyAlignment="1">
      <alignment vertical="center"/>
    </xf>
    <xf numFmtId="0" fontId="77" fillId="7" borderId="10" xfId="0" applyFont="1" applyFill="1" applyBorder="1" applyAlignment="1">
      <alignment horizontal="left" vertical="center" wrapText="1"/>
    </xf>
    <xf numFmtId="0" fontId="77" fillId="7" borderId="0" xfId="0" applyFont="1" applyFill="1" applyBorder="1" applyAlignment="1">
      <alignment horizontal="center" vertical="center" wrapText="1"/>
    </xf>
    <xf numFmtId="0" fontId="85" fillId="7" borderId="0" xfId="0" applyFont="1" applyFill="1" applyBorder="1" applyAlignment="1">
      <alignment horizontal="center" vertical="center"/>
    </xf>
    <xf numFmtId="0" fontId="77" fillId="7" borderId="10" xfId="0" applyFont="1" applyFill="1" applyBorder="1" applyAlignment="1">
      <alignment vertical="center"/>
    </xf>
    <xf numFmtId="0" fontId="80" fillId="0" borderId="0" xfId="0" applyFont="1" applyBorder="1" applyAlignment="1">
      <alignment vertical="center"/>
    </xf>
    <xf numFmtId="164" fontId="88" fillId="0" borderId="0" xfId="0" applyNumberFormat="1" applyFont="1" applyFill="1" applyAlignment="1">
      <alignment vertical="center" wrapText="1"/>
    </xf>
    <xf numFmtId="0" fontId="89" fillId="0" borderId="0" xfId="0" applyFont="1"/>
    <xf numFmtId="0" fontId="63" fillId="7" borderId="31" xfId="0" applyFont="1" applyFill="1" applyBorder="1" applyAlignment="1">
      <alignment horizontal="center" vertical="center" wrapText="1"/>
    </xf>
    <xf numFmtId="0" fontId="63" fillId="7" borderId="32" xfId="0" applyFont="1" applyFill="1" applyBorder="1" applyAlignment="1">
      <alignment horizontal="center" vertical="center" wrapText="1"/>
    </xf>
    <xf numFmtId="0" fontId="53" fillId="7" borderId="32" xfId="0" applyFont="1" applyFill="1" applyBorder="1" applyAlignment="1">
      <alignment horizontal="center" vertical="center" wrapText="1"/>
    </xf>
    <xf numFmtId="0" fontId="64" fillId="7" borderId="32" xfId="0" applyFont="1" applyFill="1" applyBorder="1"/>
    <xf numFmtId="0" fontId="63" fillId="7" borderId="10" xfId="0" applyFont="1" applyFill="1" applyBorder="1" applyAlignment="1">
      <alignment horizontal="center" vertical="center" wrapText="1"/>
    </xf>
    <xf numFmtId="0" fontId="64" fillId="7" borderId="0" xfId="0" applyFont="1" applyFill="1" applyBorder="1"/>
    <xf numFmtId="0" fontId="66" fillId="7" borderId="0" xfId="0" applyFont="1" applyFill="1" applyBorder="1" applyAlignment="1">
      <alignment horizontal="center"/>
    </xf>
    <xf numFmtId="0" fontId="69" fillId="7" borderId="0" xfId="0" applyFont="1" applyFill="1" applyBorder="1"/>
    <xf numFmtId="0" fontId="90" fillId="7" borderId="0" xfId="0" applyFont="1" applyFill="1" applyBorder="1" applyAlignment="1">
      <alignment vertical="center"/>
    </xf>
    <xf numFmtId="0" fontId="52" fillId="0" borderId="1" xfId="0" applyFont="1" applyBorder="1" applyAlignment="1">
      <alignment horizontal="right" vertical="center" wrapText="1"/>
    </xf>
    <xf numFmtId="164" fontId="87" fillId="8" borderId="0" xfId="0" applyNumberFormat="1" applyFont="1" applyFill="1" applyAlignment="1">
      <alignment horizontal="left" vertical="center" wrapText="1"/>
    </xf>
    <xf numFmtId="0" fontId="51" fillId="0" borderId="0" xfId="0" applyFont="1" applyBorder="1" applyAlignment="1">
      <alignment vertical="center"/>
    </xf>
    <xf numFmtId="164" fontId="86" fillId="0" borderId="42" xfId="0" applyNumberFormat="1" applyFont="1" applyBorder="1" applyAlignment="1">
      <alignment horizontal="left" vertical="center" wrapText="1"/>
    </xf>
    <xf numFmtId="164" fontId="87" fillId="8" borderId="0" xfId="0" applyNumberFormat="1" applyFont="1" applyFill="1" applyBorder="1" applyAlignment="1">
      <alignment horizontal="left" vertical="center" wrapText="1"/>
    </xf>
    <xf numFmtId="164" fontId="91" fillId="7" borderId="33" xfId="0" applyNumberFormat="1" applyFont="1" applyFill="1" applyBorder="1" applyAlignment="1">
      <alignment vertical="center"/>
    </xf>
    <xf numFmtId="3" fontId="92" fillId="2" borderId="0" xfId="0" applyNumberFormat="1" applyFont="1" applyFill="1" applyBorder="1" applyAlignment="1">
      <alignment horizontal="center" vertical="center"/>
    </xf>
    <xf numFmtId="164" fontId="91" fillId="7" borderId="43" xfId="0" applyNumberFormat="1" applyFont="1" applyFill="1" applyBorder="1" applyAlignment="1">
      <alignment horizontal="center" vertical="center" wrapText="1"/>
    </xf>
    <xf numFmtId="0" fontId="63" fillId="7" borderId="44" xfId="0" applyFont="1" applyFill="1" applyBorder="1" applyAlignment="1">
      <alignment horizontal="center" vertical="center" wrapText="1"/>
    </xf>
    <xf numFmtId="9" fontId="63" fillId="7" borderId="45" xfId="0" applyNumberFormat="1" applyFont="1" applyFill="1" applyBorder="1" applyAlignment="1">
      <alignment horizontal="center" vertical="center" wrapText="1"/>
    </xf>
    <xf numFmtId="0" fontId="63" fillId="7" borderId="45" xfId="0" applyFont="1" applyFill="1" applyBorder="1"/>
    <xf numFmtId="1" fontId="56" fillId="7" borderId="45" xfId="0" applyNumberFormat="1" applyFont="1" applyFill="1" applyBorder="1" applyAlignment="1">
      <alignment horizontal="center" vertical="center"/>
    </xf>
    <xf numFmtId="0" fontId="55" fillId="7" borderId="45" xfId="0" applyFont="1" applyFill="1" applyBorder="1"/>
    <xf numFmtId="0" fontId="76" fillId="7" borderId="0" xfId="0" applyFont="1" applyFill="1" applyBorder="1" applyAlignment="1">
      <alignment horizontal="left" vertical="center" wrapText="1" indent="1"/>
    </xf>
    <xf numFmtId="0" fontId="77" fillId="7" borderId="0" xfId="0" applyFont="1" applyFill="1" applyBorder="1" applyAlignment="1">
      <alignment horizontal="left" indent="1"/>
    </xf>
    <xf numFmtId="0" fontId="52" fillId="0" borderId="39" xfId="0" applyFont="1" applyBorder="1" applyAlignment="1">
      <alignment horizontal="right" vertical="center" wrapText="1"/>
    </xf>
    <xf numFmtId="0" fontId="52" fillId="0" borderId="38" xfId="0" applyFont="1" applyBorder="1" applyAlignment="1">
      <alignment horizontal="right" vertical="center" wrapText="1"/>
    </xf>
    <xf numFmtId="0" fontId="17" fillId="0" borderId="23" xfId="0" applyFont="1" applyBorder="1" applyAlignment="1">
      <alignment horizontal="right" vertical="center" wrapText="1"/>
    </xf>
    <xf numFmtId="0" fontId="67" fillId="7" borderId="0" xfId="0" applyFont="1" applyFill="1" applyBorder="1"/>
    <xf numFmtId="3" fontId="63" fillId="7" borderId="0" xfId="0" applyNumberFormat="1" applyFont="1" applyFill="1" applyBorder="1" applyAlignment="1">
      <alignment horizontal="right"/>
    </xf>
    <xf numFmtId="3" fontId="55" fillId="7" borderId="0" xfId="0" applyNumberFormat="1" applyFont="1" applyFill="1" applyBorder="1" applyAlignment="1">
      <alignment horizontal="right"/>
    </xf>
    <xf numFmtId="0" fontId="64" fillId="7" borderId="0" xfId="0" applyFont="1" applyFill="1" applyBorder="1" applyAlignment="1">
      <alignment horizontal="left" vertical="center"/>
    </xf>
    <xf numFmtId="3" fontId="96" fillId="7" borderId="0" xfId="0" applyNumberFormat="1" applyFont="1" applyFill="1" applyBorder="1" applyAlignment="1">
      <alignment horizontal="right" vertical="center"/>
    </xf>
    <xf numFmtId="3" fontId="96" fillId="7" borderId="0" xfId="0" applyNumberFormat="1" applyFont="1" applyFill="1" applyBorder="1" applyAlignment="1">
      <alignment horizontal="right"/>
    </xf>
    <xf numFmtId="0" fontId="66" fillId="7" borderId="0" xfId="0" applyFont="1" applyFill="1" applyBorder="1" applyAlignment="1">
      <alignment horizontal="left" vertical="center"/>
    </xf>
    <xf numFmtId="0" fontId="64" fillId="7" borderId="0" xfId="0" applyFont="1" applyFill="1" applyBorder="1" applyAlignment="1">
      <alignment horizontal="left" vertical="center" wrapText="1"/>
    </xf>
    <xf numFmtId="0" fontId="97" fillId="7" borderId="0" xfId="0" applyFont="1" applyFill="1" applyBorder="1" applyAlignment="1">
      <alignment horizontal="left" vertical="center"/>
    </xf>
    <xf numFmtId="0" fontId="98" fillId="7" borderId="0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right" vertical="center"/>
    </xf>
    <xf numFmtId="3" fontId="56" fillId="7" borderId="0" xfId="0" applyNumberFormat="1" applyFont="1" applyFill="1" applyBorder="1" applyAlignment="1">
      <alignment horizontal="right" vertical="center"/>
    </xf>
    <xf numFmtId="0" fontId="99" fillId="7" borderId="0" xfId="0" applyFont="1" applyFill="1" applyBorder="1"/>
    <xf numFmtId="0" fontId="71" fillId="7" borderId="0" xfId="0" applyFont="1" applyFill="1" applyBorder="1" applyAlignment="1">
      <alignment horizontal="right" vertical="center"/>
    </xf>
    <xf numFmtId="0" fontId="102" fillId="7" borderId="0" xfId="0" applyFont="1" applyFill="1" applyBorder="1" applyAlignment="1">
      <alignment horizontal="right" vertical="center"/>
    </xf>
    <xf numFmtId="0" fontId="61" fillId="0" borderId="0" xfId="0" applyFont="1" applyBorder="1"/>
    <xf numFmtId="3" fontId="61" fillId="0" borderId="0" xfId="0" applyNumberFormat="1" applyFont="1" applyBorder="1" applyAlignment="1">
      <alignment horizontal="right"/>
    </xf>
    <xf numFmtId="0" fontId="93" fillId="0" borderId="0" xfId="0" applyFont="1" applyBorder="1"/>
    <xf numFmtId="164" fontId="61" fillId="0" borderId="0" xfId="0" applyNumberFormat="1" applyFont="1" applyBorder="1"/>
    <xf numFmtId="0" fontId="94" fillId="0" borderId="0" xfId="0" applyFont="1" applyBorder="1" applyAlignment="1">
      <alignment horizontal="right"/>
    </xf>
    <xf numFmtId="0" fontId="61" fillId="7" borderId="0" xfId="0" applyFont="1" applyFill="1" applyBorder="1"/>
    <xf numFmtId="0" fontId="51" fillId="7" borderId="0" xfId="0" applyFont="1" applyFill="1" applyBorder="1"/>
    <xf numFmtId="164" fontId="61" fillId="7" borderId="0" xfId="0" applyNumberFormat="1" applyFont="1" applyFill="1" applyBorder="1"/>
    <xf numFmtId="3" fontId="61" fillId="7" borderId="0" xfId="0" applyNumberFormat="1" applyFont="1" applyFill="1" applyBorder="1" applyAlignment="1">
      <alignment horizontal="right"/>
    </xf>
    <xf numFmtId="0" fontId="80" fillId="7" borderId="0" xfId="0" applyFont="1" applyFill="1" applyBorder="1"/>
    <xf numFmtId="0" fontId="8" fillId="0" borderId="0" xfId="0" applyFont="1" applyBorder="1"/>
    <xf numFmtId="3" fontId="8" fillId="0" borderId="0" xfId="0" applyNumberFormat="1" applyFont="1" applyBorder="1" applyAlignment="1">
      <alignment horizontal="right"/>
    </xf>
    <xf numFmtId="0" fontId="103" fillId="7" borderId="0" xfId="0" applyFont="1" applyFill="1"/>
    <xf numFmtId="0" fontId="104" fillId="0" borderId="0" xfId="0" applyFont="1"/>
    <xf numFmtId="0" fontId="9" fillId="0" borderId="39" xfId="0" applyFont="1" applyBorder="1" applyAlignment="1">
      <alignment horizontal="right" vertical="center" wrapText="1"/>
    </xf>
    <xf numFmtId="0" fontId="83" fillId="7" borderId="10" xfId="0" applyFont="1" applyFill="1" applyBorder="1" applyAlignment="1">
      <alignment horizontal="left" vertical="center" wrapText="1"/>
    </xf>
    <xf numFmtId="0" fontId="83" fillId="7" borderId="0" xfId="0" applyFont="1" applyFill="1" applyBorder="1" applyAlignment="1">
      <alignment horizontal="left" vertical="center" wrapText="1"/>
    </xf>
    <xf numFmtId="0" fontId="72" fillId="7" borderId="0" xfId="0" applyFont="1" applyFill="1" applyBorder="1" applyAlignment="1">
      <alignment horizontal="center" vertical="center" wrapText="1"/>
    </xf>
    <xf numFmtId="0" fontId="101" fillId="6" borderId="0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59" fillId="0" borderId="39" xfId="0" applyFont="1" applyBorder="1" applyAlignment="1"/>
    <xf numFmtId="0" fontId="55" fillId="9" borderId="20" xfId="0" applyFont="1" applyFill="1" applyBorder="1"/>
    <xf numFmtId="0" fontId="65" fillId="9" borderId="20" xfId="0" applyFont="1" applyFill="1" applyBorder="1" applyAlignment="1">
      <alignment horizontal="center" vertical="center"/>
    </xf>
    <xf numFmtId="0" fontId="55" fillId="9" borderId="20" xfId="0" applyFont="1" applyFill="1" applyBorder="1" applyAlignment="1">
      <alignment horizontal="center" vertical="center" wrapText="1"/>
    </xf>
    <xf numFmtId="0" fontId="55" fillId="9" borderId="21" xfId="0" applyFont="1" applyFill="1" applyBorder="1"/>
    <xf numFmtId="0" fontId="55" fillId="9" borderId="20" xfId="0" applyFont="1" applyFill="1" applyBorder="1" applyAlignment="1">
      <alignment vertical="center"/>
    </xf>
    <xf numFmtId="0" fontId="56" fillId="9" borderId="0" xfId="0" applyFont="1" applyFill="1" applyBorder="1" applyAlignment="1">
      <alignment horizontal="center" vertical="center"/>
    </xf>
    <xf numFmtId="0" fontId="65" fillId="9" borderId="0" xfId="0" applyFont="1" applyFill="1" applyBorder="1" applyAlignment="1">
      <alignment horizontal="center" vertical="center"/>
    </xf>
    <xf numFmtId="0" fontId="55" fillId="3" borderId="0" xfId="0" applyFont="1" applyFill="1" applyBorder="1"/>
    <xf numFmtId="3" fontId="95" fillId="2" borderId="0" xfId="0" applyNumberFormat="1" applyFont="1" applyFill="1" applyBorder="1" applyAlignment="1">
      <alignment horizontal="center" vertical="center"/>
    </xf>
    <xf numFmtId="4" fontId="100" fillId="7" borderId="0" xfId="0" applyNumberFormat="1" applyFont="1" applyFill="1" applyBorder="1" applyAlignment="1">
      <alignment horizontal="center" vertical="center"/>
    </xf>
    <xf numFmtId="0" fontId="59" fillId="0" borderId="1" xfId="0" applyFont="1" applyBorder="1" applyAlignment="1"/>
    <xf numFmtId="0" fontId="59" fillId="0" borderId="0" xfId="0" applyFont="1" applyBorder="1" applyAlignment="1"/>
    <xf numFmtId="0" fontId="106" fillId="0" borderId="0" xfId="0" applyFont="1" applyAlignment="1">
      <alignment vertical="center"/>
    </xf>
    <xf numFmtId="0" fontId="106" fillId="0" borderId="0" xfId="0" applyFont="1" applyBorder="1" applyAlignment="1">
      <alignment vertical="center"/>
    </xf>
    <xf numFmtId="0" fontId="62" fillId="0" borderId="39" xfId="0" applyFont="1" applyBorder="1" applyAlignment="1">
      <alignment horizontal="left" vertical="center" wrapText="1" indent="1"/>
    </xf>
    <xf numFmtId="164" fontId="61" fillId="0" borderId="0" xfId="0" applyNumberFormat="1" applyFont="1" applyAlignment="1">
      <alignment horizontal="left" vertical="center" wrapText="1" indent="1"/>
    </xf>
    <xf numFmtId="0" fontId="55" fillId="7" borderId="0" xfId="0" applyFont="1" applyFill="1" applyBorder="1" applyAlignment="1">
      <alignment horizontal="left" vertical="center" wrapText="1" indent="1"/>
    </xf>
    <xf numFmtId="0" fontId="81" fillId="7" borderId="0" xfId="0" applyFont="1" applyFill="1" applyBorder="1" applyAlignment="1">
      <alignment horizontal="left" vertical="center" wrapText="1" indent="1"/>
    </xf>
    <xf numFmtId="0" fontId="79" fillId="7" borderId="0" xfId="0" applyFont="1" applyFill="1" applyBorder="1" applyAlignment="1">
      <alignment horizontal="left" vertical="center" wrapText="1" indent="1"/>
    </xf>
    <xf numFmtId="0" fontId="78" fillId="7" borderId="0" xfId="0" applyFont="1" applyFill="1" applyBorder="1" applyAlignment="1">
      <alignment horizontal="left" vertical="center" wrapText="1" indent="1"/>
    </xf>
    <xf numFmtId="0" fontId="73" fillId="7" borderId="0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63" fillId="3" borderId="9" xfId="0" applyFont="1" applyFill="1" applyBorder="1" applyAlignment="1">
      <alignment vertical="center"/>
    </xf>
    <xf numFmtId="0" fontId="64" fillId="3" borderId="9" xfId="0" applyFont="1" applyFill="1" applyBorder="1" applyAlignment="1">
      <alignment horizontal="left" vertical="center" wrapText="1" indent="1"/>
    </xf>
    <xf numFmtId="0" fontId="106" fillId="3" borderId="8" xfId="0" applyFont="1" applyFill="1" applyBorder="1" applyAlignment="1">
      <alignment horizontal="center" vertical="center" wrapText="1"/>
    </xf>
    <xf numFmtId="0" fontId="106" fillId="3" borderId="9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 applyProtection="1">
      <alignment horizontal="center" vertical="center" wrapText="1"/>
      <protection locked="0"/>
    </xf>
    <xf numFmtId="0" fontId="54" fillId="3" borderId="0" xfId="0" applyFont="1" applyFill="1" applyBorder="1" applyProtection="1">
      <protection locked="0"/>
    </xf>
    <xf numFmtId="0" fontId="7" fillId="3" borderId="0" xfId="0" applyFont="1" applyFill="1" applyBorder="1"/>
    <xf numFmtId="0" fontId="108" fillId="3" borderId="0" xfId="0" applyFont="1" applyFill="1" applyBorder="1" applyAlignment="1" applyProtection="1">
      <alignment horizontal="center" vertical="center" wrapText="1"/>
      <protection locked="0"/>
    </xf>
    <xf numFmtId="0" fontId="108" fillId="3" borderId="0" xfId="0" applyFont="1" applyFill="1" applyBorder="1" applyAlignment="1">
      <alignment horizontal="center" vertical="center" wrapText="1"/>
    </xf>
    <xf numFmtId="0" fontId="56" fillId="9" borderId="20" xfId="0" applyFont="1" applyFill="1" applyBorder="1" applyAlignment="1">
      <alignment horizontal="center" vertical="center"/>
    </xf>
    <xf numFmtId="0" fontId="56" fillId="9" borderId="40" xfId="0" applyFont="1" applyFill="1" applyBorder="1" applyAlignment="1">
      <alignment horizontal="center" vertical="center"/>
    </xf>
    <xf numFmtId="0" fontId="65" fillId="9" borderId="40" xfId="0" applyFont="1" applyFill="1" applyBorder="1" applyAlignment="1">
      <alignment horizontal="center" vertical="center"/>
    </xf>
    <xf numFmtId="0" fontId="55" fillId="9" borderId="41" xfId="0" applyFont="1" applyFill="1" applyBorder="1" applyAlignment="1">
      <alignment horizontal="left" vertical="center" wrapText="1" indent="1"/>
    </xf>
    <xf numFmtId="0" fontId="109" fillId="9" borderId="19" xfId="0" applyFont="1" applyFill="1" applyBorder="1" applyAlignment="1">
      <alignment horizontal="left" vertical="center"/>
    </xf>
    <xf numFmtId="0" fontId="105" fillId="0" borderId="0" xfId="0" applyFont="1" applyProtection="1">
      <protection locked="0"/>
    </xf>
    <xf numFmtId="0" fontId="105" fillId="0" borderId="0" xfId="0" applyFont="1" applyAlignment="1">
      <alignment vertical="center"/>
    </xf>
    <xf numFmtId="0" fontId="55" fillId="9" borderId="0" xfId="0" applyFont="1" applyFill="1" applyBorder="1" applyAlignment="1">
      <alignment horizontal="left" vertical="center" wrapText="1" indent="1"/>
    </xf>
    <xf numFmtId="0" fontId="111" fillId="9" borderId="19" xfId="0" applyFont="1" applyFill="1" applyBorder="1" applyAlignment="1">
      <alignment horizontal="left" vertical="center"/>
    </xf>
    <xf numFmtId="0" fontId="106" fillId="3" borderId="30" xfId="0" applyFont="1" applyFill="1" applyBorder="1" applyAlignment="1">
      <alignment horizontal="center" vertical="center" wrapText="1"/>
    </xf>
    <xf numFmtId="0" fontId="108" fillId="3" borderId="30" xfId="0" applyFont="1" applyFill="1" applyBorder="1" applyAlignment="1">
      <alignment horizontal="center" vertical="center" wrapText="1"/>
    </xf>
    <xf numFmtId="0" fontId="106" fillId="3" borderId="0" xfId="0" applyFont="1" applyFill="1" applyBorder="1" applyAlignment="1">
      <alignment horizontal="center" vertical="center" wrapText="1"/>
    </xf>
    <xf numFmtId="0" fontId="112" fillId="3" borderId="0" xfId="0" applyFont="1" applyFill="1" applyBorder="1" applyAlignment="1">
      <alignment horizontal="left" vertical="center" wrapText="1" inden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A8A99E"/>
      <color rgb="FFFFC600"/>
      <color rgb="FFC8102E"/>
      <color rgb="FF54585A"/>
      <color rgb="FF4298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447675</xdr:colOff>
      <xdr:row>0</xdr:row>
      <xdr:rowOff>657224</xdr:rowOff>
    </xdr:to>
    <xdr:sp macro="" textlink="">
      <xdr:nvSpPr>
        <xdr:cNvPr id="2" name="Title 1"/>
        <xdr:cNvSpPr>
          <a:spLocks noGrp="1"/>
        </xdr:cNvSpPr>
      </xdr:nvSpPr>
      <xdr:spPr bwMode="auto">
        <a:xfrm>
          <a:off x="0" y="0"/>
          <a:ext cx="4744508" cy="6572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91440" tIns="45720" rIns="91440" bIns="45720" numCol="1" anchor="b" anchorCtr="0" compatLnSpc="1">
          <a:prstTxWarp prst="textNoShape">
            <a:avLst/>
          </a:prstTxWarp>
        </a:bodyPr>
        <a:lstStyle>
          <a:lvl1pPr algn="l" rtl="0" eaLnBrk="0" fontAlgn="base" hangingPunct="0">
            <a:spcBef>
              <a:spcPct val="0"/>
            </a:spcBef>
            <a:spcAft>
              <a:spcPct val="0"/>
            </a:spcAft>
            <a:defRPr sz="44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  <a:lvl2pPr algn="l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2"/>
              </a:solidFill>
              <a:latin typeface="Tahoma" panose="020B0604030504040204" pitchFamily="34" charset="0"/>
            </a:defRPr>
          </a:lvl2pPr>
          <a:lvl3pPr algn="l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2"/>
              </a:solidFill>
              <a:latin typeface="Tahoma" panose="020B0604030504040204" pitchFamily="34" charset="0"/>
            </a:defRPr>
          </a:lvl3pPr>
          <a:lvl4pPr algn="l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2"/>
              </a:solidFill>
              <a:latin typeface="Tahoma" panose="020B0604030504040204" pitchFamily="34" charset="0"/>
            </a:defRPr>
          </a:lvl4pPr>
          <a:lvl5pPr algn="l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2"/>
              </a:solidFill>
              <a:latin typeface="Tahoma" panose="020B0604030504040204" pitchFamily="34" charset="0"/>
            </a:defRPr>
          </a:lvl5pPr>
          <a:lvl6pPr marL="457200" algn="l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2"/>
              </a:solidFill>
              <a:latin typeface="Tahoma" panose="020B0604030504040204" pitchFamily="34" charset="0"/>
            </a:defRPr>
          </a:lvl6pPr>
          <a:lvl7pPr marL="914400" algn="l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2"/>
              </a:solidFill>
              <a:latin typeface="Tahoma" panose="020B0604030504040204" pitchFamily="34" charset="0"/>
            </a:defRPr>
          </a:lvl7pPr>
          <a:lvl8pPr marL="1371600" algn="l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2"/>
              </a:solidFill>
              <a:latin typeface="Tahoma" panose="020B0604030504040204" pitchFamily="34" charset="0"/>
            </a:defRPr>
          </a:lvl8pPr>
          <a:lvl9pPr marL="1828800" algn="l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2"/>
              </a:solidFill>
              <a:latin typeface="Tahoma" panose="020B0604030504040204" pitchFamily="34" charset="0"/>
            </a:defRPr>
          </a:lvl9pPr>
        </a:lstStyle>
        <a:p>
          <a:pPr eaLnBrk="1" hangingPunct="1"/>
          <a:r>
            <a:rPr lang="en-US" altLang="en-US" sz="2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The Bus Facility Calculator</a:t>
          </a:r>
        </a:p>
      </xdr:txBody>
    </xdr:sp>
    <xdr:clientData/>
  </xdr:twoCellAnchor>
  <xdr:twoCellAnchor>
    <xdr:from>
      <xdr:col>0</xdr:col>
      <xdr:colOff>0</xdr:colOff>
      <xdr:row>1</xdr:row>
      <xdr:rowOff>171450</xdr:rowOff>
    </xdr:from>
    <xdr:to>
      <xdr:col>9</xdr:col>
      <xdr:colOff>2390775</xdr:colOff>
      <xdr:row>61</xdr:row>
      <xdr:rowOff>123825</xdr:rowOff>
    </xdr:to>
    <xdr:sp macro="" textlink="">
      <xdr:nvSpPr>
        <xdr:cNvPr id="3" name="TextBox 2" descr="Rectangle: Click to edit Master text styles&#10;Second level&#10;Third level&#10;Fourth level&#10;Fifth level"/>
        <xdr:cNvSpPr txBox="1">
          <a:spLocks noChangeArrowheads="1"/>
        </xdr:cNvSpPr>
      </xdr:nvSpPr>
      <xdr:spPr bwMode="auto">
        <a:xfrm>
          <a:off x="0" y="1219200"/>
          <a:ext cx="9705975" cy="11391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ahoma" panose="020B0604030504040204" pitchFamily="34" charset="0"/>
              <a:ea typeface="+mn-ea"/>
              <a:cs typeface="+mn-cs"/>
            </a:defRPr>
          </a:lvl9pPr>
        </a:lstStyle>
        <a:p>
          <a:pPr marL="0" indent="0" eaLnBrk="1" hangingPunct="1">
            <a:lnSpc>
              <a:spcPct val="90000"/>
            </a:lnSpc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None/>
            <a:defRPr/>
          </a:pPr>
          <a:r>
            <a:rPr lang="en-US" altLang="en-US" sz="2400">
              <a:latin typeface="Arial" panose="020B0604020202020204" pitchFamily="34" charset="0"/>
              <a:cs typeface="Arial" panose="020B0604020202020204" pitchFamily="34" charset="0"/>
            </a:rPr>
            <a:t>Instructions:</a:t>
          </a:r>
        </a:p>
        <a:p>
          <a:pPr marL="857250" lvl="1" indent="-457200" eaLnBrk="1" hangingPunct="1">
            <a:lnSpc>
              <a:spcPct val="90000"/>
            </a:lnSpc>
            <a:spcBef>
              <a:spcPts val="600"/>
            </a:spcBef>
            <a:spcAft>
              <a:spcPts val="600"/>
            </a:spcAft>
            <a:buSzPct val="100000"/>
            <a:buFont typeface="+mj-lt"/>
            <a:buAutoNum type="arabicPeriod"/>
            <a:defRPr/>
          </a:pPr>
          <a:r>
            <a:rPr lang="en-US" altLang="en-US" sz="2000">
              <a:latin typeface="Arial" panose="020B0604020202020204" pitchFamily="34" charset="0"/>
              <a:cs typeface="Arial" panose="020B0604020202020204" pitchFamily="34" charset="0"/>
            </a:rPr>
            <a:t>Open the Tab Labeled </a:t>
          </a:r>
          <a:r>
            <a:rPr lang="en-US" altLang="en-US" sz="20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"Fleet Data Entry"</a:t>
          </a:r>
        </a:p>
        <a:p>
          <a:pPr marL="857250" lvl="1" indent="-457200" eaLnBrk="1" hangingPunct="1">
            <a:lnSpc>
              <a:spcPct val="90000"/>
            </a:lnSpc>
            <a:spcBef>
              <a:spcPts val="600"/>
            </a:spcBef>
            <a:spcAft>
              <a:spcPts val="600"/>
            </a:spcAft>
            <a:buSzPct val="100000"/>
            <a:buFont typeface="+mj-lt"/>
            <a:buAutoNum type="arabicPeriod"/>
            <a:defRPr/>
          </a:pPr>
          <a:r>
            <a:rPr lang="en-US" altLang="en-US" sz="2000">
              <a:latin typeface="Arial" panose="020B0604020202020204" pitchFamily="34" charset="0"/>
              <a:cs typeface="Arial" panose="020B0604020202020204" pitchFamily="34" charset="0"/>
            </a:rPr>
            <a:t>Enter your fleet information/quantities in</a:t>
          </a: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 the </a:t>
          </a:r>
          <a:r>
            <a:rPr lang="en-US" altLang="en-US" sz="2000" u="sng" baseline="0">
              <a:latin typeface="Arial" panose="020B0604020202020204" pitchFamily="34" charset="0"/>
              <a:cs typeface="Arial" panose="020B0604020202020204" pitchFamily="34" charset="0"/>
            </a:rPr>
            <a:t>White Cells </a:t>
          </a: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only. This calculator is set-up as a </a:t>
          </a:r>
          <a:r>
            <a:rPr lang="en-US" altLang="en-US" sz="2000" u="sng" baseline="0">
              <a:latin typeface="Arial" panose="020B0604020202020204" pitchFamily="34" charset="0"/>
              <a:cs typeface="Arial" panose="020B0604020202020204" pitchFamily="34" charset="0"/>
            </a:rPr>
            <a:t>Domicile Fleet Calculator</a:t>
          </a: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. If your organization plans on performing Vehicle Maintenance as a centralized function - then enter </a:t>
          </a:r>
          <a:r>
            <a:rPr lang="en-US" altLang="en-US" sz="2000" u="sng" baseline="0">
              <a:latin typeface="Arial" panose="020B0604020202020204" pitchFamily="34" charset="0"/>
              <a:cs typeface="Arial" panose="020B0604020202020204" pitchFamily="34" charset="0"/>
            </a:rPr>
            <a:t>all fleet at all locations </a:t>
          </a: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and you will </a:t>
          </a:r>
          <a:r>
            <a:rPr lang="en-US" altLang="en-US" sz="2000" u="sng" baseline="0">
              <a:latin typeface="Arial" panose="020B0604020202020204" pitchFamily="34" charset="0"/>
              <a:cs typeface="Arial" panose="020B0604020202020204" pitchFamily="34" charset="0"/>
            </a:rPr>
            <a:t>have to adjust the facility parking based</a:t>
          </a: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 on the Domicile Fleet for the new facility.  The calculator will project Vehicle Maintenance Bay requirements based on the fleet information entered.</a:t>
          </a:r>
          <a:endParaRPr lang="en-US" altLang="en-US" sz="2000">
            <a:latin typeface="Arial" panose="020B0604020202020204" pitchFamily="34" charset="0"/>
            <a:cs typeface="Arial" panose="020B0604020202020204" pitchFamily="34" charset="0"/>
          </a:endParaRPr>
        </a:p>
        <a:p>
          <a:pPr marL="857250" lvl="1" indent="-457200" eaLnBrk="1" hangingPunct="1">
            <a:lnSpc>
              <a:spcPct val="90000"/>
            </a:lnSpc>
            <a:spcBef>
              <a:spcPts val="600"/>
            </a:spcBef>
            <a:spcAft>
              <a:spcPts val="600"/>
            </a:spcAft>
            <a:buSzPct val="100000"/>
            <a:buFont typeface="+mj-lt"/>
            <a:buAutoNum type="arabicPeriod"/>
            <a:defRPr/>
          </a:pPr>
          <a:r>
            <a:rPr lang="en-US" altLang="en-US" sz="2000">
              <a:latin typeface="Arial" panose="020B0604020202020204" pitchFamily="34" charset="0"/>
              <a:cs typeface="Arial" panose="020B0604020202020204" pitchFamily="34" charset="0"/>
            </a:rPr>
            <a:t>Open the Tab</a:t>
          </a: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 Labeled </a:t>
          </a:r>
          <a:r>
            <a:rPr lang="en-US" altLang="en-US" sz="20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"Facility Data Entry"</a:t>
          </a:r>
          <a:endParaRPr lang="en-US" altLang="en-US" sz="2000" b="1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857250" lvl="1" indent="-457200" eaLnBrk="1" hangingPunct="1">
            <a:lnSpc>
              <a:spcPct val="90000"/>
            </a:lnSpc>
            <a:spcBef>
              <a:spcPts val="600"/>
            </a:spcBef>
            <a:spcAft>
              <a:spcPts val="600"/>
            </a:spcAft>
            <a:buSzPct val="100000"/>
            <a:buFont typeface="+mj-lt"/>
            <a:buAutoNum type="arabicPeriod"/>
            <a:defRPr/>
          </a:pPr>
          <a:r>
            <a:rPr lang="en-US" altLang="en-US" sz="2000">
              <a:latin typeface="Arial" panose="020B0604020202020204" pitchFamily="34" charset="0"/>
              <a:cs typeface="Arial" panose="020B0604020202020204" pitchFamily="34" charset="0"/>
            </a:rPr>
            <a:t>Enter Facility Options such as number of staff needing offices and workstations, number of conference</a:t>
          </a: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 rooms, will you have crew rooms, etc.</a:t>
          </a:r>
        </a:p>
        <a:p>
          <a:pPr marL="857250" marR="0" lvl="1" indent="-457200" algn="l" defTabSz="914400" rtl="0" eaLnBrk="1" fontAlgn="base" latinLnBrk="0" hangingPunct="1">
            <a:lnSpc>
              <a:spcPct val="90000"/>
            </a:lnSpc>
            <a:spcBef>
              <a:spcPts val="600"/>
            </a:spcBef>
            <a:spcAft>
              <a:spcPts val="600"/>
            </a:spcAft>
            <a:buClrTx/>
            <a:buSzPct val="100000"/>
            <a:buFont typeface="+mj-lt"/>
            <a:buAutoNum type="arabicPeriod"/>
            <a:tabLst/>
            <a:defRPr/>
          </a:pPr>
          <a:r>
            <a:rPr lang="en-US" sz="20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Open the Tab Labeled </a:t>
          </a:r>
          <a:r>
            <a:rPr lang="en-US" sz="2000" b="1" kern="1200">
              <a:solidFill>
                <a:schemeClr val="accent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2000" b="1" kern="1200" baseline="0">
              <a:solidFill>
                <a:schemeClr val="accent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Bus Parking Scenario</a:t>
          </a:r>
          <a:r>
            <a:rPr lang="en-US" sz="2000" b="1" kern="1200">
              <a:solidFill>
                <a:schemeClr val="accent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</a:p>
        <a:p>
          <a:pPr marL="857250" lvl="1" indent="-457200" eaLnBrk="1" hangingPunct="1">
            <a:lnSpc>
              <a:spcPct val="90000"/>
            </a:lnSpc>
            <a:spcBef>
              <a:spcPts val="600"/>
            </a:spcBef>
            <a:spcAft>
              <a:spcPts val="600"/>
            </a:spcAft>
            <a:buSzPct val="100000"/>
            <a:buFont typeface="+mj-lt"/>
            <a:buAutoNum type="arabicPeriod"/>
            <a:defRPr/>
          </a:pPr>
          <a:r>
            <a:rPr lang="en-US" altLang="en-US" sz="2000" b="1" kern="1200" baseline="0">
              <a:solidFill>
                <a:schemeClr val="accent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Bus Parking Scenario</a:t>
          </a:r>
          <a:r>
            <a:rPr lang="en-US" altLang="en-US" sz="20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: </a:t>
          </a: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Select a Bus Parking Approach and Location (example:  Interior &amp; In-Line Stacked) from the Pull Down Menu. </a:t>
          </a:r>
          <a:r>
            <a:rPr lang="en-US" altLang="en-US" sz="2000" u="sng" baseline="0">
              <a:latin typeface="Arial" panose="020B0604020202020204" pitchFamily="34" charset="0"/>
              <a:cs typeface="Arial" panose="020B0604020202020204" pitchFamily="34" charset="0"/>
            </a:rPr>
            <a:t>You will have to make decisions here as adjustments "breaks" the link to the Fleet Data for these cells only</a:t>
          </a: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marL="857250" lvl="1" indent="-457200" eaLnBrk="1" hangingPunct="1">
            <a:lnSpc>
              <a:spcPct val="90000"/>
            </a:lnSpc>
            <a:spcBef>
              <a:spcPts val="600"/>
            </a:spcBef>
            <a:spcAft>
              <a:spcPts val="600"/>
            </a:spcAft>
            <a:buSzPct val="100000"/>
            <a:buFont typeface="+mj-lt"/>
            <a:buAutoNum type="arabicPeriod"/>
            <a:defRPr/>
          </a:pP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Open the Tab Labeled </a:t>
          </a:r>
          <a:r>
            <a:rPr lang="en-US" altLang="en-US" sz="20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"Macro Program Summary"</a:t>
          </a: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.  </a:t>
          </a:r>
        </a:p>
        <a:p>
          <a:pPr marL="857250" lvl="1" indent="-457200" eaLnBrk="1" hangingPunct="1">
            <a:lnSpc>
              <a:spcPct val="90000"/>
            </a:lnSpc>
            <a:spcBef>
              <a:spcPts val="600"/>
            </a:spcBef>
            <a:spcAft>
              <a:spcPts val="600"/>
            </a:spcAft>
            <a:buSzPct val="100000"/>
            <a:buFont typeface="+mj-lt"/>
            <a:buAutoNum type="arabicPeriod"/>
            <a:defRPr/>
          </a:pP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Review the Macro Program Summary - </a:t>
          </a:r>
          <a:r>
            <a:rPr lang="en-US" alt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See how much land you really need! based on the Parking Scenario you have selected.</a:t>
          </a:r>
          <a:endParaRPr lang="en-US" altLang="en-US" sz="2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857250" lvl="1" indent="-457200" eaLnBrk="1" hangingPunct="1">
            <a:lnSpc>
              <a:spcPct val="90000"/>
            </a:lnSpc>
            <a:spcBef>
              <a:spcPts val="600"/>
            </a:spcBef>
            <a:spcAft>
              <a:spcPts val="600"/>
            </a:spcAft>
            <a:buSzPct val="100000"/>
            <a:buFont typeface="+mj-lt"/>
            <a:buAutoNum type="arabicPeriod"/>
            <a:defRPr/>
          </a:pPr>
          <a:r>
            <a:rPr lang="en-US" altLang="en-US" sz="2000">
              <a:latin typeface="Arial" panose="020B0604020202020204" pitchFamily="34" charset="0"/>
              <a:cs typeface="Arial" panose="020B0604020202020204" pitchFamily="34" charset="0"/>
            </a:rPr>
            <a:t>Open the Tab</a:t>
          </a: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 Labeled </a:t>
          </a:r>
          <a:r>
            <a:rPr lang="en-US" altLang="en-US" sz="20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"Budget Worksheet"</a:t>
          </a: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n-US" altLang="en-US" sz="2000">
              <a:latin typeface="Arial" panose="020B0604020202020204" pitchFamily="34" charset="0"/>
              <a:cs typeface="Arial" panose="020B0604020202020204" pitchFamily="34" charset="0"/>
            </a:rPr>
            <a:t>Review Facility Budget Worksheet - adjust cost per SF based on type of building.</a:t>
          </a: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See how much your new facility will cost today - 1 year from now - 5 years from now!  </a:t>
          </a:r>
          <a:endParaRPr lang="en-US" altLang="en-US" sz="2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968375" lvl="1" indent="-280988" eaLnBrk="1" hangingPunct="1">
            <a:lnSpc>
              <a:spcPct val="90000"/>
            </a:lnSpc>
            <a:spcBef>
              <a:spcPts val="600"/>
            </a:spcBef>
            <a:spcAft>
              <a:spcPts val="600"/>
            </a:spcAft>
            <a:defRPr/>
          </a:pPr>
          <a:r>
            <a:rPr lang="en-US" altLang="en-US" sz="2000">
              <a:latin typeface="Arial" panose="020B0604020202020204" pitchFamily="34" charset="0"/>
              <a:cs typeface="Arial" panose="020B0604020202020204" pitchFamily="34" charset="0"/>
            </a:rPr>
            <a:t>Remember:</a:t>
          </a:r>
        </a:p>
        <a:p>
          <a:pPr marL="968375" lvl="1" indent="-280988" eaLnBrk="1" hangingPunct="1">
            <a:lnSpc>
              <a:spcPct val="90000"/>
            </a:lnSpc>
            <a:spcBef>
              <a:spcPts val="600"/>
            </a:spcBef>
            <a:spcAft>
              <a:spcPts val="600"/>
            </a:spcAft>
            <a:defRPr/>
          </a:pP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The Bus Facility Calculator is provided to you as a </a:t>
          </a:r>
          <a:r>
            <a:rPr lang="en-US" altLang="en-US" sz="2000" b="1" u="sng" baseline="0">
              <a:latin typeface="Arial" panose="020B0604020202020204" pitchFamily="34" charset="0"/>
              <a:cs typeface="Arial" panose="020B0604020202020204" pitchFamily="34" charset="0"/>
            </a:rPr>
            <a:t>Tool</a:t>
          </a:r>
          <a:r>
            <a:rPr lang="en-US" altLang="en-US" sz="2000" baseline="0">
              <a:latin typeface="Arial" panose="020B0604020202020204" pitchFamily="34" charset="0"/>
              <a:cs typeface="Arial" panose="020B0604020202020204" pitchFamily="34" charset="0"/>
            </a:rPr>
            <a:t> to establish a basic understanding of building needs, property needs, and to establish a realistic facility budget. </a:t>
          </a:r>
          <a:r>
            <a:rPr lang="en-US" altLang="en-US" sz="2000" b="1" u="sng" baseline="0">
              <a:latin typeface="Arial" panose="020B0604020202020204" pitchFamily="34" charset="0"/>
              <a:cs typeface="Arial" panose="020B0604020202020204" pitchFamily="34" charset="0"/>
            </a:rPr>
            <a:t>Use at your own Risk.</a:t>
          </a:r>
          <a:endParaRPr lang="en-US" altLang="en-US" sz="2000" b="1" u="sng">
            <a:latin typeface="Arial" panose="020B0604020202020204" pitchFamily="34" charset="0"/>
            <a:cs typeface="Arial" panose="020B0604020202020204" pitchFamily="34" charset="0"/>
          </a:endParaRPr>
        </a:p>
        <a:p>
          <a:pPr marL="968375" lvl="1" indent="-280988" eaLnBrk="1" hangingPunct="1">
            <a:lnSpc>
              <a:spcPct val="90000"/>
            </a:lnSpc>
            <a:spcBef>
              <a:spcPts val="600"/>
            </a:spcBef>
            <a:spcAft>
              <a:spcPts val="600"/>
            </a:spcAft>
            <a:defRPr/>
          </a:pPr>
          <a:r>
            <a:rPr lang="en-US" altLang="en-US" sz="2000">
              <a:latin typeface="Arial" panose="020B0604020202020204" pitchFamily="34" charset="0"/>
              <a:cs typeface="Arial" panose="020B0604020202020204" pitchFamily="34" charset="0"/>
            </a:rPr>
            <a:t>Data Entry is </a:t>
          </a:r>
          <a:r>
            <a:rPr lang="en-US" altLang="en-US" sz="2000" u="sng">
              <a:latin typeface="Arial" panose="020B0604020202020204" pitchFamily="34" charset="0"/>
              <a:cs typeface="Arial" panose="020B0604020202020204" pitchFamily="34" charset="0"/>
            </a:rPr>
            <a:t>based on your specific facility needs as you see</a:t>
          </a:r>
          <a:r>
            <a:rPr lang="en-US" altLang="en-US" sz="2000" u="sng" baseline="0">
              <a:latin typeface="Arial" panose="020B0604020202020204" pitchFamily="34" charset="0"/>
              <a:cs typeface="Arial" panose="020B0604020202020204" pitchFamily="34" charset="0"/>
            </a:rPr>
            <a:t> them right now</a:t>
          </a:r>
          <a:r>
            <a:rPr lang="en-US" altLang="en-US" sz="2000" u="none" baseline="0">
              <a:latin typeface="Arial" panose="020B0604020202020204" pitchFamily="34" charset="0"/>
              <a:cs typeface="Arial" panose="020B0604020202020204" pitchFamily="34" charset="0"/>
            </a:rPr>
            <a:t>. A design professional will need to confirm all programming data and - as a result - the space needs requirements </a:t>
          </a:r>
          <a:r>
            <a:rPr lang="en-US" altLang="en-US" sz="2000" u="sng" baseline="0">
              <a:latin typeface="Arial" panose="020B0604020202020204" pitchFamily="34" charset="0"/>
              <a:cs typeface="Arial" panose="020B0604020202020204" pitchFamily="34" charset="0"/>
            </a:rPr>
            <a:t>will likely change to some degree based on more detailed programming data</a:t>
          </a:r>
          <a:r>
            <a:rPr lang="en-US" altLang="en-US" sz="2000" u="sng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marL="968375" lvl="1" indent="-280988" eaLnBrk="1" hangingPunct="1">
            <a:lnSpc>
              <a:spcPct val="90000"/>
            </a:lnSpc>
            <a:spcBef>
              <a:spcPts val="600"/>
            </a:spcBef>
            <a:spcAft>
              <a:spcPts val="600"/>
            </a:spcAft>
            <a:defRPr/>
          </a:pPr>
          <a:r>
            <a:rPr lang="en-US" altLang="en-US" sz="2000">
              <a:latin typeface="Arial" panose="020B0604020202020204" pitchFamily="34" charset="0"/>
              <a:cs typeface="Arial" panose="020B0604020202020204" pitchFamily="34" charset="0"/>
            </a:rPr>
            <a:t>Costs are Calculated on a Per Square Foot (SF) basis and are based on typical, durable, and sustainable materials and appropriate and modern systems and equipment.</a:t>
          </a:r>
        </a:p>
        <a:p>
          <a:pPr marL="968375" lvl="1" indent="-280988" eaLnBrk="1" hangingPunct="1">
            <a:lnSpc>
              <a:spcPct val="90000"/>
            </a:lnSpc>
            <a:spcBef>
              <a:spcPts val="600"/>
            </a:spcBef>
            <a:spcAft>
              <a:spcPts val="600"/>
            </a:spcAft>
            <a:defRPr/>
          </a:pPr>
          <a:r>
            <a:rPr lang="en-US" altLang="en-US" sz="2000" b="1">
              <a:latin typeface="Arial" panose="020B0604020202020204" pitchFamily="34" charset="0"/>
              <a:cs typeface="Arial" panose="020B0604020202020204" pitchFamily="34" charset="0"/>
            </a:rPr>
            <a:t>The Facility Calculator is open and fully adjustable/customizable – you own it!</a:t>
          </a:r>
        </a:p>
      </xdr:txBody>
    </xdr:sp>
    <xdr:clientData/>
  </xdr:twoCellAnchor>
  <xdr:twoCellAnchor editAs="oneCell">
    <xdr:from>
      <xdr:col>9</xdr:col>
      <xdr:colOff>183939</xdr:colOff>
      <xdr:row>0</xdr:row>
      <xdr:rowOff>76200</xdr:rowOff>
    </xdr:from>
    <xdr:to>
      <xdr:col>9</xdr:col>
      <xdr:colOff>2121110</xdr:colOff>
      <xdr:row>0</xdr:row>
      <xdr:rowOff>624840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2683" y="76200"/>
          <a:ext cx="1937171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1728561</xdr:colOff>
      <xdr:row>5</xdr:row>
      <xdr:rowOff>216657</xdr:rowOff>
    </xdr:from>
    <xdr:to>
      <xdr:col>12</xdr:col>
      <xdr:colOff>356961</xdr:colOff>
      <xdr:row>9</xdr:row>
      <xdr:rowOff>683381</xdr:rowOff>
    </xdr:to>
    <xdr:sp macro="" textlink="">
      <xdr:nvSpPr>
        <xdr:cNvPr id="2" name="Left Arrow 1"/>
        <xdr:cNvSpPr/>
      </xdr:nvSpPr>
      <xdr:spPr>
        <a:xfrm>
          <a:off x="10981418" y="2012800"/>
          <a:ext cx="2792186" cy="2575831"/>
        </a:xfrm>
        <a:prstGeom prst="leftArrow">
          <a:avLst/>
        </a:prstGeom>
        <a:solidFill>
          <a:schemeClr val="accent1"/>
        </a:solidFill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37160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Enter Quantity of  Vehicles in each</a:t>
          </a:r>
          <a:r>
            <a:rPr lang="en-US" sz="1600" b="1" baseline="0">
              <a:solidFill>
                <a:schemeClr val="bg1"/>
              </a:solidFill>
            </a:rPr>
            <a:t> Category of </a:t>
          </a:r>
          <a:br>
            <a:rPr lang="en-US" sz="1600" b="1" baseline="0">
              <a:solidFill>
                <a:schemeClr val="bg1"/>
              </a:solidFill>
            </a:rPr>
          </a:br>
          <a:r>
            <a:rPr lang="en-US" sz="1600" b="1" baseline="0">
              <a:solidFill>
                <a:schemeClr val="bg1"/>
              </a:solidFill>
            </a:rPr>
            <a:t>Vehicle Type.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19050</xdr:colOff>
      <xdr:row>21</xdr:row>
      <xdr:rowOff>0</xdr:rowOff>
    </xdr:from>
    <xdr:to>
      <xdr:col>8</xdr:col>
      <xdr:colOff>19050</xdr:colOff>
      <xdr:row>22</xdr:row>
      <xdr:rowOff>9525</xdr:rowOff>
    </xdr:to>
    <xdr:sp macro="" textlink="">
      <xdr:nvSpPr>
        <xdr:cNvPr id="10" name="Rectangle 9"/>
        <xdr:cNvSpPr/>
      </xdr:nvSpPr>
      <xdr:spPr>
        <a:xfrm>
          <a:off x="8162925" y="11652250"/>
          <a:ext cx="2111375" cy="1025525"/>
        </a:xfrm>
        <a:prstGeom prst="rect">
          <a:avLst/>
        </a:prstGeom>
        <a:noFill/>
        <a:ln w="571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217277</xdr:colOff>
      <xdr:row>0</xdr:row>
      <xdr:rowOff>114300</xdr:rowOff>
    </xdr:from>
    <xdr:to>
      <xdr:col>12</xdr:col>
      <xdr:colOff>130914</xdr:colOff>
      <xdr:row>0</xdr:row>
      <xdr:rowOff>662940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8810" y="114300"/>
          <a:ext cx="1937171" cy="548640"/>
        </a:xfrm>
        <a:prstGeom prst="rect">
          <a:avLst/>
        </a:prstGeom>
      </xdr:spPr>
    </xdr:pic>
    <xdr:clientData/>
  </xdr:twoCellAnchor>
  <xdr:oneCellAnchor>
    <xdr:from>
      <xdr:col>10</xdr:col>
      <xdr:colOff>651934</xdr:colOff>
      <xdr:row>7</xdr:row>
      <xdr:rowOff>440267</xdr:rowOff>
    </xdr:from>
    <xdr:ext cx="184731" cy="254557"/>
    <xdr:sp macro="" textlink="">
      <xdr:nvSpPr>
        <xdr:cNvPr id="3" name="TextBox 2"/>
        <xdr:cNvSpPr txBox="1"/>
      </xdr:nvSpPr>
      <xdr:spPr>
        <a:xfrm>
          <a:off x="12073467" y="3132667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161177</xdr:colOff>
      <xdr:row>5</xdr:row>
      <xdr:rowOff>1159275</xdr:rowOff>
    </xdr:from>
    <xdr:to>
      <xdr:col>6</xdr:col>
      <xdr:colOff>3755572</xdr:colOff>
      <xdr:row>13</xdr:row>
      <xdr:rowOff>330387</xdr:rowOff>
    </xdr:to>
    <xdr:sp macro="" textlink="">
      <xdr:nvSpPr>
        <xdr:cNvPr id="3" name="Left Arrow 2"/>
        <xdr:cNvSpPr/>
      </xdr:nvSpPr>
      <xdr:spPr>
        <a:xfrm>
          <a:off x="12557284" y="3037061"/>
          <a:ext cx="3594395" cy="3021933"/>
        </a:xfrm>
        <a:prstGeom prst="leftArrow">
          <a:avLst/>
        </a:prstGeom>
        <a:solidFill>
          <a:schemeClr val="accent1"/>
        </a:solidFill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bg1"/>
              </a:solidFill>
            </a:rPr>
            <a:t>Enter Facility Options and Quantities </a:t>
          </a:r>
          <a:r>
            <a:rPr lang="en-US" sz="2000" b="1" baseline="0">
              <a:solidFill>
                <a:schemeClr val="bg1"/>
              </a:solidFill>
            </a:rPr>
            <a:t>here. Only enter data in white cells.</a:t>
          </a:r>
          <a:endParaRPr lang="en-US" sz="20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6</xdr:col>
      <xdr:colOff>193464</xdr:colOff>
      <xdr:row>0</xdr:row>
      <xdr:rowOff>114300</xdr:rowOff>
    </xdr:from>
    <xdr:to>
      <xdr:col>6</xdr:col>
      <xdr:colOff>2130635</xdr:colOff>
      <xdr:row>0</xdr:row>
      <xdr:rowOff>662940</xdr:rowOff>
    </xdr:to>
    <xdr:pic>
      <xdr:nvPicPr>
        <xdr:cNvPr id="294" name="Picture 29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817" y="114300"/>
          <a:ext cx="1937171" cy="548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185037</xdr:colOff>
      <xdr:row>0</xdr:row>
      <xdr:rowOff>98425</xdr:rowOff>
    </xdr:from>
    <xdr:to>
      <xdr:col>6</xdr:col>
      <xdr:colOff>2234313</xdr:colOff>
      <xdr:row>0</xdr:row>
      <xdr:rowOff>678815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8237" y="98425"/>
          <a:ext cx="2049276" cy="580390"/>
        </a:xfrm>
        <a:prstGeom prst="rect">
          <a:avLst/>
        </a:prstGeom>
      </xdr:spPr>
    </xdr:pic>
    <xdr:clientData/>
  </xdr:twoCellAnchor>
  <xdr:twoCellAnchor>
    <xdr:from>
      <xdr:col>1</xdr:col>
      <xdr:colOff>111125</xdr:colOff>
      <xdr:row>3</xdr:row>
      <xdr:rowOff>48021</xdr:rowOff>
    </xdr:from>
    <xdr:to>
      <xdr:col>4</xdr:col>
      <xdr:colOff>269875</xdr:colOff>
      <xdr:row>6</xdr:row>
      <xdr:rowOff>543241</xdr:rowOff>
    </xdr:to>
    <xdr:sp macro="" textlink="">
      <xdr:nvSpPr>
        <xdr:cNvPr id="4" name="Left Arrow 3"/>
        <xdr:cNvSpPr/>
      </xdr:nvSpPr>
      <xdr:spPr>
        <a:xfrm>
          <a:off x="5794375" y="1349771"/>
          <a:ext cx="3206750" cy="2717720"/>
        </a:xfrm>
        <a:prstGeom prst="leftArrow">
          <a:avLst/>
        </a:prstGeom>
        <a:solidFill>
          <a:schemeClr val="accent1"/>
        </a:solidFill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bg1"/>
              </a:solidFill>
            </a:rPr>
            <a:t>Enter Bus Parking Approach and</a:t>
          </a:r>
          <a:r>
            <a:rPr lang="en-US" sz="2000" b="1" baseline="0">
              <a:solidFill>
                <a:schemeClr val="bg1"/>
              </a:solidFill>
            </a:rPr>
            <a:t> Bus Parking Location</a:t>
          </a:r>
          <a:endParaRPr lang="en-US" sz="2000" b="1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96979</xdr:colOff>
      <xdr:row>0</xdr:row>
      <xdr:rowOff>196053</xdr:rowOff>
    </xdr:from>
    <xdr:to>
      <xdr:col>5</xdr:col>
      <xdr:colOff>1818494</xdr:colOff>
      <xdr:row>0</xdr:row>
      <xdr:rowOff>685084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713" y="196053"/>
          <a:ext cx="1721515" cy="4890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9524</xdr:colOff>
      <xdr:row>2</xdr:row>
      <xdr:rowOff>111815</xdr:rowOff>
    </xdr:from>
    <xdr:to>
      <xdr:col>14</xdr:col>
      <xdr:colOff>28575</xdr:colOff>
      <xdr:row>43</xdr:row>
      <xdr:rowOff>19050</xdr:rowOff>
    </xdr:to>
    <xdr:sp macro="" textlink="">
      <xdr:nvSpPr>
        <xdr:cNvPr id="3" name="Rectangle 2"/>
        <xdr:cNvSpPr/>
      </xdr:nvSpPr>
      <xdr:spPr>
        <a:xfrm>
          <a:off x="18792824" y="1140515"/>
          <a:ext cx="2076451" cy="12604060"/>
        </a:xfrm>
        <a:prstGeom prst="rect">
          <a:avLst/>
        </a:prstGeom>
        <a:noFill/>
        <a:ln w="76200">
          <a:solidFill>
            <a:srgbClr val="C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C8102E"/>
            </a:solidFill>
          </a:endParaRPr>
        </a:p>
      </xdr:txBody>
    </xdr:sp>
    <xdr:clientData/>
  </xdr:twoCellAnchor>
  <xdr:twoCellAnchor>
    <xdr:from>
      <xdr:col>13</xdr:col>
      <xdr:colOff>6627</xdr:colOff>
      <xdr:row>41</xdr:row>
      <xdr:rowOff>192987</xdr:rowOff>
    </xdr:from>
    <xdr:to>
      <xdr:col>14</xdr:col>
      <xdr:colOff>25678</xdr:colOff>
      <xdr:row>43</xdr:row>
      <xdr:rowOff>21537</xdr:rowOff>
    </xdr:to>
    <xdr:sp macro="" textlink="">
      <xdr:nvSpPr>
        <xdr:cNvPr id="4" name="Rectangle 3"/>
        <xdr:cNvSpPr/>
      </xdr:nvSpPr>
      <xdr:spPr>
        <a:xfrm>
          <a:off x="18789927" y="13270812"/>
          <a:ext cx="2076451" cy="476250"/>
        </a:xfrm>
        <a:prstGeom prst="rect">
          <a:avLst/>
        </a:prstGeom>
        <a:noFill/>
        <a:ln w="76200">
          <a:solidFill>
            <a:srgbClr val="C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C8102E"/>
            </a:solidFill>
          </a:endParaRPr>
        </a:p>
      </xdr:txBody>
    </xdr:sp>
    <xdr:clientData/>
  </xdr:twoCellAnchor>
  <xdr:twoCellAnchor editAs="oneCell">
    <xdr:from>
      <xdr:col>12</xdr:col>
      <xdr:colOff>244929</xdr:colOff>
      <xdr:row>0</xdr:row>
      <xdr:rowOff>95251</xdr:rowOff>
    </xdr:from>
    <xdr:to>
      <xdr:col>13</xdr:col>
      <xdr:colOff>1134626</xdr:colOff>
      <xdr:row>0</xdr:row>
      <xdr:rowOff>701980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33572" y="95251"/>
          <a:ext cx="2109107" cy="606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54585A"/>
      </a:dk2>
      <a:lt2>
        <a:srgbClr val="FFFFFF"/>
      </a:lt2>
      <a:accent1>
        <a:srgbClr val="4298B5"/>
      </a:accent1>
      <a:accent2>
        <a:srgbClr val="C8102E"/>
      </a:accent2>
      <a:accent3>
        <a:srgbClr val="78BE20"/>
      </a:accent3>
      <a:accent4>
        <a:srgbClr val="772583"/>
      </a:accent4>
      <a:accent5>
        <a:srgbClr val="FF8200"/>
      </a:accent5>
      <a:accent6>
        <a:srgbClr val="FFC600"/>
      </a:accent6>
      <a:hlink>
        <a:srgbClr val="4298B5"/>
      </a:hlink>
      <a:folHlink>
        <a:srgbClr val="004C97"/>
      </a:folHlink>
    </a:clrScheme>
    <a:fontScheme name="Office">
      <a:majorFont>
        <a:latin typeface="Arial" panose="020F0302020204030204"/>
        <a:ea typeface="Simhei"/>
        <a:cs typeface="Atrissi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Simhei"/>
        <a:cs typeface="Atrissi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72"/>
  <sheetViews>
    <sheetView tabSelected="1" zoomScale="79" zoomScaleNormal="79" workbookViewId="0">
      <selection activeCell="O48" sqref="O48"/>
    </sheetView>
  </sheetViews>
  <sheetFormatPr defaultRowHeight="14.25" x14ac:dyDescent="0.2"/>
  <cols>
    <col min="9" max="10" width="36.5" customWidth="1"/>
  </cols>
  <sheetData>
    <row r="1" spans="1:12" ht="52.5" customHeight="1" thickTop="1" thickBot="1" x14ac:dyDescent="0.25">
      <c r="A1" s="29"/>
      <c r="B1" s="30"/>
      <c r="C1" s="30"/>
      <c r="D1" s="30"/>
      <c r="E1" s="30"/>
      <c r="F1" s="30"/>
      <c r="G1" s="30"/>
      <c r="H1" s="30"/>
      <c r="I1" s="271" t="s">
        <v>120</v>
      </c>
      <c r="J1" s="31"/>
      <c r="K1" s="15"/>
      <c r="L1" s="15"/>
    </row>
    <row r="2" spans="1:12" ht="15" thickTop="1" x14ac:dyDescent="0.2">
      <c r="A2" s="32"/>
      <c r="B2" s="33"/>
      <c r="C2" s="33"/>
      <c r="D2" s="33"/>
      <c r="E2" s="33"/>
      <c r="F2" s="33"/>
      <c r="G2" s="33"/>
      <c r="H2" s="33"/>
      <c r="I2" s="33"/>
      <c r="J2" s="34"/>
    </row>
    <row r="3" spans="1:12" x14ac:dyDescent="0.2">
      <c r="A3" s="32"/>
      <c r="B3" s="33"/>
      <c r="C3" s="33"/>
      <c r="D3" s="33"/>
      <c r="E3" s="33"/>
      <c r="F3" s="33"/>
      <c r="G3" s="33"/>
      <c r="H3" s="33"/>
      <c r="I3" s="33"/>
      <c r="J3" s="34"/>
    </row>
    <row r="4" spans="1:12" x14ac:dyDescent="0.2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12" x14ac:dyDescent="0.2">
      <c r="A5" s="32"/>
      <c r="B5" s="33"/>
      <c r="C5" s="33"/>
      <c r="D5" s="33"/>
      <c r="E5" s="33"/>
      <c r="F5" s="33"/>
      <c r="G5" s="33"/>
      <c r="H5" s="33"/>
      <c r="I5" s="33"/>
      <c r="J5" s="34"/>
    </row>
    <row r="6" spans="1:12" x14ac:dyDescent="0.2">
      <c r="A6" s="32"/>
      <c r="B6" s="33"/>
      <c r="C6" s="33"/>
      <c r="D6" s="33"/>
      <c r="E6" s="33"/>
      <c r="F6" s="33"/>
      <c r="G6" s="33"/>
      <c r="H6" s="33"/>
      <c r="I6" s="33"/>
      <c r="J6" s="34"/>
    </row>
    <row r="7" spans="1:12" x14ac:dyDescent="0.2">
      <c r="A7" s="32"/>
      <c r="B7" s="33"/>
      <c r="C7" s="33"/>
      <c r="D7" s="33"/>
      <c r="E7" s="33"/>
      <c r="F7" s="33"/>
      <c r="G7" s="33"/>
      <c r="H7" s="33"/>
      <c r="I7" s="33"/>
      <c r="J7" s="34"/>
    </row>
    <row r="8" spans="1:12" x14ac:dyDescent="0.2">
      <c r="A8" s="32"/>
      <c r="B8" s="33"/>
      <c r="C8" s="33"/>
      <c r="D8" s="33"/>
      <c r="E8" s="33"/>
      <c r="F8" s="33"/>
      <c r="G8" s="33"/>
      <c r="H8" s="33"/>
      <c r="I8" s="33"/>
      <c r="J8" s="34"/>
    </row>
    <row r="9" spans="1:12" x14ac:dyDescent="0.2">
      <c r="A9" s="32"/>
      <c r="B9" s="33"/>
      <c r="C9" s="33"/>
      <c r="D9" s="33"/>
      <c r="E9" s="33"/>
      <c r="F9" s="33"/>
      <c r="G9" s="33"/>
      <c r="H9" s="33"/>
      <c r="I9" s="33"/>
      <c r="J9" s="34"/>
    </row>
    <row r="10" spans="1:12" x14ac:dyDescent="0.2">
      <c r="A10" s="32"/>
      <c r="B10" s="33"/>
      <c r="C10" s="33"/>
      <c r="D10" s="33"/>
      <c r="E10" s="33"/>
      <c r="F10" s="33"/>
      <c r="G10" s="33"/>
      <c r="H10" s="33"/>
      <c r="I10" s="33"/>
      <c r="J10" s="34"/>
    </row>
    <row r="11" spans="1:12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4"/>
    </row>
    <row r="12" spans="1:12" x14ac:dyDescent="0.2">
      <c r="A12" s="32"/>
      <c r="B12" s="33"/>
      <c r="C12" s="33"/>
      <c r="D12" s="33"/>
      <c r="E12" s="33"/>
      <c r="F12" s="33"/>
      <c r="G12" s="33"/>
      <c r="H12" s="33"/>
      <c r="I12" s="33"/>
      <c r="J12" s="34"/>
    </row>
    <row r="13" spans="1:12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4"/>
    </row>
    <row r="14" spans="1:12" x14ac:dyDescent="0.2">
      <c r="A14" s="32"/>
      <c r="B14" s="33"/>
      <c r="C14" s="33"/>
      <c r="D14" s="33"/>
      <c r="E14" s="33"/>
      <c r="F14" s="33"/>
      <c r="G14" s="33"/>
      <c r="H14" s="33"/>
      <c r="I14" s="33"/>
      <c r="J14" s="34"/>
    </row>
    <row r="15" spans="1:12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4"/>
    </row>
    <row r="16" spans="1:12" x14ac:dyDescent="0.2">
      <c r="A16" s="32"/>
      <c r="B16" s="33"/>
      <c r="C16" s="33"/>
      <c r="D16" s="33"/>
      <c r="E16" s="33"/>
      <c r="F16" s="33"/>
      <c r="G16" s="33"/>
      <c r="H16" s="33"/>
      <c r="I16" s="33"/>
      <c r="J16" s="34"/>
    </row>
    <row r="17" spans="1:10" x14ac:dyDescent="0.2">
      <c r="A17" s="32"/>
      <c r="B17" s="33"/>
      <c r="C17" s="33"/>
      <c r="D17" s="33"/>
      <c r="E17" s="33"/>
      <c r="F17" s="33"/>
      <c r="G17" s="33"/>
      <c r="H17" s="33"/>
      <c r="I17" s="33"/>
      <c r="J17" s="34"/>
    </row>
    <row r="18" spans="1:10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4"/>
    </row>
    <row r="19" spans="1:10" x14ac:dyDescent="0.2">
      <c r="A19" s="32"/>
      <c r="B19" s="33"/>
      <c r="C19" s="33"/>
      <c r="D19" s="33"/>
      <c r="E19" s="33"/>
      <c r="F19" s="33"/>
      <c r="G19" s="33"/>
      <c r="H19" s="33"/>
      <c r="I19" s="33"/>
      <c r="J19" s="34"/>
    </row>
    <row r="20" spans="1:10" x14ac:dyDescent="0.2">
      <c r="A20" s="32"/>
      <c r="B20" s="33"/>
      <c r="C20" s="33"/>
      <c r="D20" s="33"/>
      <c r="E20" s="33"/>
      <c r="F20" s="33"/>
      <c r="G20" s="33"/>
      <c r="H20" s="33"/>
      <c r="I20" s="33"/>
      <c r="J20" s="34"/>
    </row>
    <row r="21" spans="1:10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4"/>
    </row>
    <row r="22" spans="1:10" x14ac:dyDescent="0.2">
      <c r="A22" s="32"/>
      <c r="B22" s="33"/>
      <c r="C22" s="33"/>
      <c r="D22" s="33"/>
      <c r="E22" s="33"/>
      <c r="F22" s="33"/>
      <c r="G22" s="33"/>
      <c r="H22" s="33"/>
      <c r="I22" s="33"/>
      <c r="J22" s="34"/>
    </row>
    <row r="23" spans="1:10" x14ac:dyDescent="0.2">
      <c r="A23" s="32"/>
      <c r="B23" s="33"/>
      <c r="C23" s="33"/>
      <c r="D23" s="33"/>
      <c r="E23" s="33"/>
      <c r="F23" s="33"/>
      <c r="G23" s="33"/>
      <c r="H23" s="33"/>
      <c r="I23" s="33"/>
      <c r="J23" s="34"/>
    </row>
    <row r="24" spans="1:10" x14ac:dyDescent="0.2">
      <c r="A24" s="32"/>
      <c r="B24" s="33"/>
      <c r="C24" s="33"/>
      <c r="D24" s="33"/>
      <c r="E24" s="33"/>
      <c r="F24" s="33"/>
      <c r="G24" s="33"/>
      <c r="H24" s="33"/>
      <c r="I24" s="33"/>
      <c r="J24" s="34"/>
    </row>
    <row r="25" spans="1:10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4"/>
    </row>
    <row r="26" spans="1:10" x14ac:dyDescent="0.2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0" x14ac:dyDescent="0.2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0" x14ac:dyDescent="0.2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pans="1:10" x14ac:dyDescent="0.2">
      <c r="A29" s="32"/>
      <c r="B29" s="33"/>
      <c r="C29" s="33"/>
      <c r="D29" s="33"/>
      <c r="E29" s="33"/>
      <c r="F29" s="33"/>
      <c r="G29" s="33"/>
      <c r="H29" s="33"/>
      <c r="I29" s="33"/>
      <c r="J29" s="34"/>
    </row>
    <row r="30" spans="1:10" x14ac:dyDescent="0.2">
      <c r="A30" s="32"/>
      <c r="B30" s="33"/>
      <c r="C30" s="33"/>
      <c r="D30" s="33"/>
      <c r="E30" s="33"/>
      <c r="F30" s="33"/>
      <c r="G30" s="33"/>
      <c r="H30" s="33"/>
      <c r="I30" s="33"/>
      <c r="J30" s="34"/>
    </row>
    <row r="31" spans="1:10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4"/>
    </row>
    <row r="32" spans="1:10" x14ac:dyDescent="0.2">
      <c r="A32" s="32"/>
      <c r="B32" s="33"/>
      <c r="C32" s="33"/>
      <c r="D32" s="33"/>
      <c r="E32" s="33"/>
      <c r="F32" s="33"/>
      <c r="G32" s="33"/>
      <c r="H32" s="33"/>
      <c r="I32" s="33"/>
      <c r="J32" s="34"/>
    </row>
    <row r="33" spans="1:10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</row>
    <row r="34" spans="1:10" x14ac:dyDescent="0.2">
      <c r="A34" s="32"/>
      <c r="B34" s="33"/>
      <c r="C34" s="33"/>
      <c r="D34" s="33"/>
      <c r="E34" s="33"/>
      <c r="F34" s="33"/>
      <c r="G34" s="33"/>
      <c r="H34" s="33"/>
      <c r="I34" s="33"/>
      <c r="J34" s="34"/>
    </row>
    <row r="35" spans="1:10" x14ac:dyDescent="0.2">
      <c r="A35" s="32"/>
      <c r="B35" s="33"/>
      <c r="C35" s="33"/>
      <c r="D35" s="33"/>
      <c r="E35" s="33"/>
      <c r="F35" s="33"/>
      <c r="G35" s="33"/>
      <c r="H35" s="33"/>
      <c r="I35" s="33"/>
      <c r="J35" s="34"/>
    </row>
    <row r="36" spans="1:10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4"/>
    </row>
    <row r="37" spans="1:10" x14ac:dyDescent="0.2">
      <c r="A37" s="32"/>
      <c r="B37" s="33"/>
      <c r="C37" s="33"/>
      <c r="D37" s="33"/>
      <c r="E37" s="33"/>
      <c r="F37" s="33"/>
      <c r="G37" s="33"/>
      <c r="H37" s="33"/>
      <c r="I37" s="33"/>
      <c r="J37" s="34"/>
    </row>
    <row r="38" spans="1:10" x14ac:dyDescent="0.2">
      <c r="A38" s="32"/>
      <c r="B38" s="33"/>
      <c r="C38" s="33"/>
      <c r="D38" s="33"/>
      <c r="E38" s="33"/>
      <c r="F38" s="33"/>
      <c r="G38" s="33"/>
      <c r="H38" s="33"/>
      <c r="I38" s="33"/>
      <c r="J38" s="34"/>
    </row>
    <row r="39" spans="1:10" x14ac:dyDescent="0.2">
      <c r="A39" s="32"/>
      <c r="B39" s="33"/>
      <c r="C39" s="33"/>
      <c r="D39" s="33"/>
      <c r="E39" s="33"/>
      <c r="F39" s="33"/>
      <c r="G39" s="33"/>
      <c r="H39" s="33"/>
      <c r="I39" s="33"/>
      <c r="J39" s="34"/>
    </row>
    <row r="40" spans="1:10" x14ac:dyDescent="0.2">
      <c r="A40" s="32"/>
      <c r="B40" s="33"/>
      <c r="C40" s="33"/>
      <c r="D40" s="33"/>
      <c r="E40" s="33"/>
      <c r="F40" s="33"/>
      <c r="G40" s="33"/>
      <c r="H40" s="33"/>
      <c r="I40" s="33"/>
      <c r="J40" s="34"/>
    </row>
    <row r="41" spans="1:10" x14ac:dyDescent="0.2">
      <c r="A41" s="32"/>
      <c r="B41" s="33"/>
      <c r="C41" s="33"/>
      <c r="D41" s="33"/>
      <c r="E41" s="33"/>
      <c r="F41" s="33"/>
      <c r="G41" s="33"/>
      <c r="H41" s="33"/>
      <c r="I41" s="33"/>
      <c r="J41" s="34"/>
    </row>
    <row r="42" spans="1:10" x14ac:dyDescent="0.2">
      <c r="A42" s="32"/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">
      <c r="A43" s="32"/>
      <c r="B43" s="33"/>
      <c r="C43" s="33"/>
      <c r="D43" s="33"/>
      <c r="E43" s="33"/>
      <c r="F43" s="33"/>
      <c r="G43" s="33"/>
      <c r="H43" s="33"/>
      <c r="I43" s="33"/>
      <c r="J43" s="34"/>
    </row>
    <row r="44" spans="1:10" x14ac:dyDescent="0.2">
      <c r="A44" s="32"/>
      <c r="B44" s="33"/>
      <c r="C44" s="33"/>
      <c r="D44" s="33"/>
      <c r="E44" s="33"/>
      <c r="F44" s="33"/>
      <c r="G44" s="33"/>
      <c r="H44" s="33"/>
      <c r="I44" s="33"/>
      <c r="J44" s="34"/>
    </row>
    <row r="45" spans="1:10" x14ac:dyDescent="0.2">
      <c r="A45" s="32"/>
      <c r="B45" s="33"/>
      <c r="C45" s="33"/>
      <c r="D45" s="33"/>
      <c r="E45" s="33"/>
      <c r="F45" s="33"/>
      <c r="G45" s="33"/>
      <c r="H45" s="33"/>
      <c r="I45" s="33"/>
      <c r="J45" s="34"/>
    </row>
    <row r="46" spans="1:10" x14ac:dyDescent="0.2">
      <c r="A46" s="32"/>
      <c r="B46" s="33"/>
      <c r="C46" s="33"/>
      <c r="D46" s="33"/>
      <c r="E46" s="33"/>
      <c r="F46" s="33"/>
      <c r="G46" s="33"/>
      <c r="H46" s="33"/>
      <c r="I46" s="33"/>
      <c r="J46" s="34"/>
    </row>
    <row r="47" spans="1:10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4"/>
    </row>
    <row r="48" spans="1:10" x14ac:dyDescent="0.2">
      <c r="A48" s="32"/>
      <c r="B48" s="33"/>
      <c r="C48" s="33"/>
      <c r="D48" s="33"/>
      <c r="E48" s="33"/>
      <c r="F48" s="33"/>
      <c r="G48" s="33"/>
      <c r="H48" s="33"/>
      <c r="I48" s="33"/>
      <c r="J48" s="34"/>
    </row>
    <row r="49" spans="1:10" x14ac:dyDescent="0.2">
      <c r="A49" s="32"/>
      <c r="B49" s="33"/>
      <c r="C49" s="33"/>
      <c r="D49" s="33"/>
      <c r="E49" s="33"/>
      <c r="F49" s="33"/>
      <c r="G49" s="33"/>
      <c r="H49" s="33"/>
      <c r="I49" s="33"/>
      <c r="J49" s="34"/>
    </row>
    <row r="50" spans="1:10" x14ac:dyDescent="0.2">
      <c r="A50" s="32"/>
      <c r="B50" s="33"/>
      <c r="C50" s="33"/>
      <c r="D50" s="33"/>
      <c r="E50" s="33"/>
      <c r="F50" s="33"/>
      <c r="G50" s="33"/>
      <c r="H50" s="33"/>
      <c r="I50" s="33"/>
      <c r="J50" s="34"/>
    </row>
    <row r="51" spans="1:10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4"/>
    </row>
    <row r="52" spans="1:10" x14ac:dyDescent="0.2">
      <c r="A52" s="32"/>
      <c r="B52" s="33"/>
      <c r="C52" s="33"/>
      <c r="D52" s="33"/>
      <c r="E52" s="33"/>
      <c r="F52" s="33"/>
      <c r="G52" s="33"/>
      <c r="H52" s="33"/>
      <c r="I52" s="33"/>
      <c r="J52" s="34"/>
    </row>
    <row r="53" spans="1:10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4"/>
    </row>
    <row r="54" spans="1:10" x14ac:dyDescent="0.2">
      <c r="A54" s="32"/>
      <c r="B54" s="33"/>
      <c r="C54" s="33"/>
      <c r="D54" s="33"/>
      <c r="E54" s="33"/>
      <c r="F54" s="33"/>
      <c r="G54" s="33"/>
      <c r="H54" s="33"/>
      <c r="I54" s="33"/>
      <c r="J54" s="34"/>
    </row>
    <row r="55" spans="1:10" x14ac:dyDescent="0.2">
      <c r="A55" s="32"/>
      <c r="B55" s="33"/>
      <c r="C55" s="33"/>
      <c r="D55" s="33"/>
      <c r="E55" s="33"/>
      <c r="F55" s="33"/>
      <c r="G55" s="33"/>
      <c r="H55" s="33"/>
      <c r="I55" s="33"/>
      <c r="J55" s="34"/>
    </row>
    <row r="56" spans="1:10" x14ac:dyDescent="0.2">
      <c r="A56" s="32"/>
      <c r="B56" s="33"/>
      <c r="C56" s="33"/>
      <c r="D56" s="33"/>
      <c r="E56" s="33"/>
      <c r="F56" s="33"/>
      <c r="G56" s="33"/>
      <c r="H56" s="33"/>
      <c r="I56" s="33"/>
      <c r="J56" s="34"/>
    </row>
    <row r="57" spans="1:10" x14ac:dyDescent="0.2">
      <c r="A57" s="32"/>
      <c r="B57" s="33"/>
      <c r="C57" s="33"/>
      <c r="D57" s="33"/>
      <c r="E57" s="33"/>
      <c r="F57" s="33"/>
      <c r="G57" s="33"/>
      <c r="H57" s="33"/>
      <c r="I57" s="33"/>
      <c r="J57" s="34"/>
    </row>
    <row r="58" spans="1:10" x14ac:dyDescent="0.2">
      <c r="A58" s="32"/>
      <c r="B58" s="33"/>
      <c r="C58" s="33"/>
      <c r="D58" s="33"/>
      <c r="E58" s="33"/>
      <c r="F58" s="33"/>
      <c r="G58" s="33"/>
      <c r="H58" s="33"/>
      <c r="I58" s="33"/>
      <c r="J58" s="34"/>
    </row>
    <row r="59" spans="1:10" x14ac:dyDescent="0.2">
      <c r="A59" s="32"/>
      <c r="B59" s="33"/>
      <c r="C59" s="33"/>
      <c r="D59" s="33"/>
      <c r="E59" s="33"/>
      <c r="F59" s="33"/>
      <c r="G59" s="33"/>
      <c r="H59" s="33"/>
      <c r="I59" s="33"/>
      <c r="J59" s="34"/>
    </row>
    <row r="60" spans="1:10" x14ac:dyDescent="0.2">
      <c r="A60" s="32"/>
      <c r="B60" s="33"/>
      <c r="C60" s="33"/>
      <c r="D60" s="33"/>
      <c r="E60" s="33"/>
      <c r="F60" s="33"/>
      <c r="G60" s="33"/>
      <c r="H60" s="33"/>
      <c r="I60" s="33"/>
      <c r="J60" s="34"/>
    </row>
    <row r="61" spans="1:10" x14ac:dyDescent="0.2">
      <c r="A61" s="32"/>
      <c r="B61" s="33"/>
      <c r="C61" s="33"/>
      <c r="D61" s="33"/>
      <c r="E61" s="33"/>
      <c r="F61" s="33"/>
      <c r="G61" s="33"/>
      <c r="H61" s="33"/>
      <c r="I61" s="33"/>
      <c r="J61" s="34"/>
    </row>
    <row r="62" spans="1:10" x14ac:dyDescent="0.2">
      <c r="A62" s="32"/>
      <c r="B62" s="33"/>
      <c r="C62" s="33"/>
      <c r="D62" s="33"/>
      <c r="E62" s="33"/>
      <c r="F62" s="33"/>
      <c r="G62" s="33"/>
      <c r="H62" s="33"/>
      <c r="I62" s="33"/>
      <c r="J62" s="34"/>
    </row>
    <row r="63" spans="1:10" x14ac:dyDescent="0.2">
      <c r="A63" s="32"/>
      <c r="B63" s="33"/>
      <c r="C63" s="33"/>
      <c r="D63" s="33"/>
      <c r="E63" s="33"/>
      <c r="F63" s="33"/>
      <c r="G63" s="33"/>
      <c r="H63" s="33"/>
      <c r="I63" s="33"/>
      <c r="J63" s="34"/>
    </row>
    <row r="64" spans="1:10" x14ac:dyDescent="0.2">
      <c r="A64" s="32"/>
      <c r="B64" s="33"/>
      <c r="C64" s="33"/>
      <c r="D64" s="33"/>
      <c r="E64" s="33"/>
      <c r="F64" s="33"/>
      <c r="G64" s="33"/>
      <c r="H64" s="33"/>
      <c r="I64" s="33"/>
      <c r="J64" s="34"/>
    </row>
    <row r="65" spans="1:10" x14ac:dyDescent="0.2">
      <c r="A65" s="32"/>
      <c r="B65" s="33"/>
      <c r="C65" s="33"/>
      <c r="D65" s="33"/>
      <c r="E65" s="33"/>
      <c r="F65" s="33"/>
      <c r="G65" s="33"/>
      <c r="H65" s="33"/>
      <c r="I65" s="33"/>
      <c r="J65" s="34"/>
    </row>
    <row r="66" spans="1:10" x14ac:dyDescent="0.2">
      <c r="A66" s="32"/>
      <c r="B66" s="33"/>
      <c r="C66" s="33"/>
      <c r="D66" s="33"/>
      <c r="E66" s="33"/>
      <c r="F66" s="33"/>
      <c r="G66" s="33"/>
      <c r="H66" s="33"/>
      <c r="I66" s="33"/>
      <c r="J66" s="34"/>
    </row>
    <row r="67" spans="1:10" x14ac:dyDescent="0.2">
      <c r="A67" s="32"/>
      <c r="B67" s="33"/>
      <c r="C67" s="33"/>
      <c r="D67" s="33"/>
      <c r="E67" s="33"/>
      <c r="F67" s="33"/>
      <c r="G67" s="33"/>
      <c r="H67" s="33"/>
      <c r="I67" s="33"/>
      <c r="J67" s="34"/>
    </row>
    <row r="68" spans="1:10" x14ac:dyDescent="0.2">
      <c r="A68" s="32"/>
      <c r="B68" s="33"/>
      <c r="C68" s="33"/>
      <c r="D68" s="33"/>
      <c r="E68" s="33"/>
      <c r="F68" s="33"/>
      <c r="G68" s="33"/>
      <c r="H68" s="33"/>
      <c r="I68" s="33"/>
      <c r="J68" s="34"/>
    </row>
    <row r="69" spans="1:10" x14ac:dyDescent="0.2">
      <c r="A69" s="32"/>
      <c r="B69" s="33"/>
      <c r="C69" s="33"/>
      <c r="D69" s="33"/>
      <c r="E69" s="33"/>
      <c r="F69" s="33"/>
      <c r="G69" s="33"/>
      <c r="H69" s="33"/>
      <c r="I69" s="33"/>
      <c r="J69" s="34"/>
    </row>
    <row r="70" spans="1:10" x14ac:dyDescent="0.2">
      <c r="A70" s="32"/>
      <c r="B70" s="33"/>
      <c r="C70" s="33"/>
      <c r="D70" s="33"/>
      <c r="E70" s="33"/>
      <c r="F70" s="33"/>
      <c r="G70" s="33"/>
      <c r="H70" s="33"/>
      <c r="I70" s="33"/>
      <c r="J70" s="34"/>
    </row>
    <row r="71" spans="1:10" ht="15" thickBot="1" x14ac:dyDescent="0.25">
      <c r="A71" s="35"/>
      <c r="B71" s="36"/>
      <c r="C71" s="36"/>
      <c r="D71" s="36"/>
      <c r="E71" s="36"/>
      <c r="F71" s="36"/>
      <c r="G71" s="36"/>
      <c r="H71" s="36"/>
      <c r="I71" s="36"/>
      <c r="J71" s="37"/>
    </row>
    <row r="72" spans="1:10" ht="15" thickTop="1" x14ac:dyDescent="0.2"/>
  </sheetData>
  <printOptions horizontalCentered="1" verticalCentered="1"/>
  <pageMargins left="0.75" right="0.75" top="1.5" bottom="0.85" header="0.75" footer="0.75"/>
  <pageSetup scale="61" orientation="portrait" r:id="rId1"/>
  <headerFooter scaleWithDoc="0">
    <oddHeader>&amp;L&amp;G&amp;C&amp;8Project: &amp;U[PROJECT]&amp;U
Subject: &amp;U[SUBJECT]&amp;U
Task: &amp;U[TASK]&amp;U
Job #: &amp;U[JOBNO]&amp;R&amp;8Computed by: &amp;U&amp;U Date:&amp;D
Checked by: &amp;U[CHECKEDBY]&amp;U Date: &amp;U[CHECKDATE]&amp;U
Workbook: &amp;U&amp;F, &amp;A&amp;U
Page: &amp;U&amp;P of &amp;N</oddHeader>
    <oddFooter>&amp;L&amp;4&amp;Z&amp;F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="57" zoomScaleNormal="57" workbookViewId="0">
      <selection activeCell="C1" sqref="C1"/>
    </sheetView>
  </sheetViews>
  <sheetFormatPr defaultColWidth="9" defaultRowHeight="16.5" x14ac:dyDescent="0.3"/>
  <cols>
    <col min="1" max="1" width="53.875" style="7" customWidth="1"/>
    <col min="2" max="2" width="2.875" style="7" customWidth="1"/>
    <col min="3" max="3" width="19.625" style="7" customWidth="1"/>
    <col min="4" max="4" width="2.5" style="7" customWidth="1"/>
    <col min="5" max="6" width="19.5" style="7" customWidth="1"/>
    <col min="7" max="7" width="3.5" style="7" customWidth="1"/>
    <col min="8" max="8" width="31.625" style="7" hidden="1" customWidth="1"/>
    <col min="9" max="9" width="4.5" style="7" hidden="1" customWidth="1"/>
    <col min="10" max="10" width="29.125" style="7" customWidth="1"/>
    <col min="11" max="11" width="17.5" style="7" customWidth="1"/>
    <col min="12" max="16384" width="9" style="7"/>
  </cols>
  <sheetData>
    <row r="1" spans="1:22" s="4" customFormat="1" ht="60" customHeight="1" thickBot="1" x14ac:dyDescent="0.65">
      <c r="A1" s="187" t="s">
        <v>42</v>
      </c>
      <c r="B1" s="188"/>
      <c r="C1" s="188"/>
      <c r="D1" s="188"/>
      <c r="E1" s="188"/>
      <c r="F1" s="188"/>
      <c r="G1" s="189"/>
      <c r="H1" s="188"/>
      <c r="I1" s="188"/>
      <c r="J1" s="270" t="s">
        <v>120</v>
      </c>
      <c r="K1" s="301"/>
      <c r="L1" s="301"/>
      <c r="M1" s="301"/>
      <c r="N1" s="9"/>
      <c r="O1" s="10"/>
      <c r="P1" s="10"/>
      <c r="Q1" s="10"/>
      <c r="T1" s="1"/>
      <c r="U1" s="2"/>
      <c r="V1" s="3"/>
    </row>
    <row r="2" spans="1:22" s="4" customFormat="1" ht="20.25" x14ac:dyDescent="0.3">
      <c r="A2" s="321" t="s">
        <v>167</v>
      </c>
      <c r="B2" s="17"/>
      <c r="C2" s="17"/>
      <c r="D2" s="18"/>
      <c r="E2" s="17"/>
      <c r="F2" s="17"/>
      <c r="G2" s="19"/>
      <c r="H2" s="17"/>
      <c r="I2" s="18"/>
      <c r="J2" s="5"/>
      <c r="K2" s="186"/>
      <c r="L2" s="186"/>
      <c r="M2" s="10"/>
      <c r="N2" s="6"/>
    </row>
    <row r="3" spans="1:22" s="4" customFormat="1" ht="20.25" x14ac:dyDescent="0.3">
      <c r="A3" s="167"/>
      <c r="B3" s="17"/>
      <c r="C3" s="17"/>
      <c r="D3" s="18"/>
      <c r="E3" s="17"/>
      <c r="F3" s="17"/>
      <c r="G3" s="19"/>
      <c r="H3" s="17"/>
      <c r="I3" s="18"/>
      <c r="J3" s="5"/>
      <c r="K3" s="5"/>
      <c r="L3" s="5"/>
      <c r="N3" s="6"/>
    </row>
    <row r="4" spans="1:22" s="4" customFormat="1" ht="20.25" x14ac:dyDescent="0.3">
      <c r="A4" s="345" t="s">
        <v>294</v>
      </c>
      <c r="B4" s="17"/>
      <c r="C4" s="17"/>
      <c r="D4" s="18"/>
      <c r="E4" s="17"/>
      <c r="F4" s="17"/>
      <c r="G4" s="19"/>
      <c r="H4" s="17"/>
      <c r="I4" s="18"/>
      <c r="J4" s="5"/>
      <c r="K4" s="5"/>
      <c r="L4" s="5"/>
      <c r="N4" s="6"/>
    </row>
    <row r="5" spans="1:22" s="4" customFormat="1" ht="20.25" x14ac:dyDescent="0.3">
      <c r="A5" s="16"/>
      <c r="B5" s="17"/>
      <c r="C5" s="17"/>
      <c r="D5" s="18"/>
      <c r="E5" s="17"/>
      <c r="F5" s="17"/>
      <c r="G5" s="19"/>
      <c r="H5" s="17"/>
      <c r="I5" s="18"/>
      <c r="J5" s="5"/>
      <c r="K5" s="5"/>
      <c r="L5" s="5"/>
      <c r="N5" s="6"/>
    </row>
    <row r="6" spans="1:22" ht="66" customHeight="1" x14ac:dyDescent="0.3">
      <c r="A6" s="338" t="s">
        <v>160</v>
      </c>
      <c r="B6" s="335"/>
      <c r="C6" s="338" t="s">
        <v>43</v>
      </c>
      <c r="D6" s="335"/>
      <c r="E6" s="338" t="s">
        <v>117</v>
      </c>
      <c r="F6" s="338" t="s">
        <v>157</v>
      </c>
      <c r="G6" s="335"/>
      <c r="H6" s="335" t="s">
        <v>45</v>
      </c>
      <c r="I6" s="336"/>
      <c r="J6" s="339" t="s">
        <v>121</v>
      </c>
      <c r="K6" s="316"/>
      <c r="L6" s="337"/>
      <c r="M6" s="337"/>
    </row>
    <row r="7" spans="1:22" x14ac:dyDescent="0.3">
      <c r="A7" s="172"/>
      <c r="B7" s="172"/>
      <c r="C7" s="172"/>
      <c r="D7" s="172"/>
      <c r="E7" s="172"/>
      <c r="F7" s="172"/>
      <c r="G7" s="172"/>
      <c r="H7" s="172"/>
      <c r="I7" s="172"/>
      <c r="J7" s="173"/>
      <c r="K7" s="173"/>
      <c r="L7" s="169"/>
      <c r="M7" s="169"/>
    </row>
    <row r="8" spans="1:22" ht="65.099999999999994" customHeight="1" x14ac:dyDescent="0.3">
      <c r="A8" s="183" t="s">
        <v>267</v>
      </c>
      <c r="B8" s="172"/>
      <c r="C8" s="175" t="s">
        <v>148</v>
      </c>
      <c r="D8" s="172"/>
      <c r="E8" s="176" t="s">
        <v>147</v>
      </c>
      <c r="F8" s="176">
        <f>(12*65) *2</f>
        <v>1560</v>
      </c>
      <c r="G8" s="172"/>
      <c r="H8" s="176">
        <f>J8*F8</f>
        <v>0</v>
      </c>
      <c r="I8" s="172"/>
      <c r="J8" s="181">
        <v>0</v>
      </c>
      <c r="K8" s="173"/>
      <c r="L8" s="169"/>
      <c r="M8" s="169"/>
      <c r="P8" s="185"/>
    </row>
    <row r="9" spans="1:22" ht="20.100000000000001" customHeight="1" x14ac:dyDescent="0.55000000000000004">
      <c r="A9" s="184"/>
      <c r="B9" s="172"/>
      <c r="C9" s="177"/>
      <c r="D9" s="172"/>
      <c r="E9" s="172"/>
      <c r="F9" s="172"/>
      <c r="G9" s="172"/>
      <c r="H9" s="172"/>
      <c r="I9" s="172"/>
      <c r="J9" s="178"/>
      <c r="K9" s="173"/>
      <c r="L9" s="169"/>
      <c r="M9" s="169"/>
    </row>
    <row r="10" spans="1:22" ht="65.099999999999994" customHeight="1" x14ac:dyDescent="0.3">
      <c r="A10" s="184" t="s">
        <v>268</v>
      </c>
      <c r="B10" s="172"/>
      <c r="C10" s="175" t="s">
        <v>149</v>
      </c>
      <c r="D10" s="172"/>
      <c r="E10" s="176" t="s">
        <v>150</v>
      </c>
      <c r="F10" s="176">
        <f>(12*50) *2</f>
        <v>1200</v>
      </c>
      <c r="G10" s="172"/>
      <c r="H10" s="176">
        <f>J10*F10</f>
        <v>0</v>
      </c>
      <c r="I10" s="172"/>
      <c r="J10" s="181">
        <v>0</v>
      </c>
      <c r="K10" s="173"/>
      <c r="L10" s="169"/>
      <c r="M10" s="169"/>
    </row>
    <row r="11" spans="1:22" ht="20.100000000000001" customHeight="1" x14ac:dyDescent="0.55000000000000004">
      <c r="A11" s="172"/>
      <c r="B11" s="172"/>
      <c r="C11" s="172"/>
      <c r="D11" s="172"/>
      <c r="E11" s="172"/>
      <c r="F11" s="172"/>
      <c r="G11" s="172"/>
      <c r="H11" s="172"/>
      <c r="I11" s="172"/>
      <c r="J11" s="178"/>
      <c r="K11" s="173"/>
      <c r="L11" s="169"/>
      <c r="M11" s="169"/>
    </row>
    <row r="12" spans="1:22" ht="65.099999999999994" customHeight="1" x14ac:dyDescent="0.3">
      <c r="A12" s="184" t="s">
        <v>269</v>
      </c>
      <c r="B12" s="172"/>
      <c r="C12" s="175" t="s">
        <v>151</v>
      </c>
      <c r="D12" s="172"/>
      <c r="E12" s="176" t="s">
        <v>47</v>
      </c>
      <c r="F12" s="176">
        <f>(12*45) *2</f>
        <v>1080</v>
      </c>
      <c r="G12" s="172"/>
      <c r="H12" s="176">
        <f>J12*F12</f>
        <v>0</v>
      </c>
      <c r="I12" s="172"/>
      <c r="J12" s="181">
        <v>0</v>
      </c>
      <c r="K12" s="173"/>
      <c r="L12" s="169"/>
      <c r="M12" s="169"/>
    </row>
    <row r="13" spans="1:22" ht="20.100000000000001" customHeight="1" x14ac:dyDescent="0.55000000000000004">
      <c r="A13" s="172"/>
      <c r="B13" s="172"/>
      <c r="C13" s="172"/>
      <c r="D13" s="172"/>
      <c r="E13" s="172"/>
      <c r="F13" s="172"/>
      <c r="G13" s="172"/>
      <c r="H13" s="172"/>
      <c r="I13" s="172"/>
      <c r="J13" s="178"/>
      <c r="K13" s="173"/>
      <c r="L13" s="169"/>
      <c r="M13" s="169"/>
    </row>
    <row r="14" spans="1:22" ht="65.099999999999994" customHeight="1" x14ac:dyDescent="0.3">
      <c r="A14" s="184" t="s">
        <v>270</v>
      </c>
      <c r="B14" s="172"/>
      <c r="C14" s="175" t="s">
        <v>156</v>
      </c>
      <c r="D14" s="172"/>
      <c r="E14" s="176" t="s">
        <v>155</v>
      </c>
      <c r="F14" s="176">
        <f>(12*40) *2</f>
        <v>960</v>
      </c>
      <c r="G14" s="172"/>
      <c r="H14" s="176">
        <f>J14*F14</f>
        <v>0</v>
      </c>
      <c r="I14" s="172"/>
      <c r="J14" s="181">
        <v>0</v>
      </c>
      <c r="K14" s="173"/>
      <c r="L14" s="169"/>
      <c r="M14" s="169"/>
    </row>
    <row r="15" spans="1:22" ht="20.100000000000001" customHeight="1" x14ac:dyDescent="0.55000000000000004">
      <c r="A15" s="172"/>
      <c r="B15" s="172"/>
      <c r="C15" s="172"/>
      <c r="D15" s="172"/>
      <c r="E15" s="172"/>
      <c r="F15" s="172"/>
      <c r="G15" s="172"/>
      <c r="H15" s="172"/>
      <c r="I15" s="172"/>
      <c r="J15" s="178"/>
      <c r="K15" s="173"/>
      <c r="L15" s="169"/>
      <c r="M15" s="169"/>
    </row>
    <row r="16" spans="1:22" ht="65.099999999999994" customHeight="1" x14ac:dyDescent="0.3">
      <c r="A16" s="184" t="s">
        <v>271</v>
      </c>
      <c r="B16" s="172"/>
      <c r="C16" s="175" t="s">
        <v>159</v>
      </c>
      <c r="D16" s="172"/>
      <c r="E16" s="176" t="s">
        <v>158</v>
      </c>
      <c r="F16" s="176">
        <f>(12*30) *2</f>
        <v>720</v>
      </c>
      <c r="G16" s="172"/>
      <c r="H16" s="176">
        <f>J16*F16</f>
        <v>0</v>
      </c>
      <c r="I16" s="172"/>
      <c r="J16" s="181">
        <v>0</v>
      </c>
      <c r="K16" s="173"/>
      <c r="L16" s="169"/>
      <c r="M16" s="169"/>
    </row>
    <row r="17" spans="1:13" ht="20.100000000000001" customHeight="1" x14ac:dyDescent="0.3">
      <c r="A17" s="184"/>
      <c r="B17" s="172"/>
      <c r="C17" s="175"/>
      <c r="D17" s="172"/>
      <c r="E17" s="176"/>
      <c r="F17" s="176"/>
      <c r="G17" s="172"/>
      <c r="H17" s="176"/>
      <c r="I17" s="172"/>
      <c r="J17" s="179"/>
      <c r="K17" s="173"/>
      <c r="L17" s="169"/>
      <c r="M17" s="169"/>
    </row>
    <row r="18" spans="1:13" ht="65.099999999999994" customHeight="1" x14ac:dyDescent="0.3">
      <c r="A18" s="184" t="s">
        <v>272</v>
      </c>
      <c r="B18" s="172"/>
      <c r="C18" s="175" t="s">
        <v>134</v>
      </c>
      <c r="D18" s="172"/>
      <c r="E18" s="176" t="s">
        <v>46</v>
      </c>
      <c r="F18" s="176">
        <f>(10*20) *2</f>
        <v>400</v>
      </c>
      <c r="G18" s="172"/>
      <c r="H18" s="176">
        <f>J18*F18</f>
        <v>0</v>
      </c>
      <c r="I18" s="172"/>
      <c r="J18" s="181">
        <v>0</v>
      </c>
      <c r="K18" s="173"/>
      <c r="L18" s="169"/>
      <c r="M18" s="169"/>
    </row>
    <row r="19" spans="1:13" ht="20.100000000000001" customHeight="1" x14ac:dyDescent="0.3">
      <c r="A19" s="184"/>
      <c r="B19" s="172"/>
      <c r="C19" s="175"/>
      <c r="D19" s="172"/>
      <c r="E19" s="176"/>
      <c r="F19" s="176"/>
      <c r="G19" s="172"/>
      <c r="H19" s="176"/>
      <c r="I19" s="172"/>
      <c r="J19" s="179"/>
      <c r="K19" s="173"/>
      <c r="L19" s="169"/>
      <c r="M19" s="169"/>
    </row>
    <row r="20" spans="1:13" ht="65.099999999999994" customHeight="1" x14ac:dyDescent="0.3">
      <c r="A20" s="184" t="s">
        <v>273</v>
      </c>
      <c r="B20" s="172"/>
      <c r="C20" s="175" t="s">
        <v>134</v>
      </c>
      <c r="D20" s="172"/>
      <c r="E20" s="176" t="s">
        <v>48</v>
      </c>
      <c r="F20" s="176">
        <f>(9*18) *2</f>
        <v>324</v>
      </c>
      <c r="G20" s="172"/>
      <c r="H20" s="176">
        <f>J20*F20</f>
        <v>0</v>
      </c>
      <c r="I20" s="172"/>
      <c r="J20" s="181">
        <v>0</v>
      </c>
      <c r="K20" s="173"/>
      <c r="L20" s="169"/>
      <c r="M20" s="169"/>
    </row>
    <row r="21" spans="1:13" ht="20.100000000000001" customHeight="1" x14ac:dyDescent="0.3">
      <c r="A21" s="172"/>
      <c r="B21" s="172"/>
      <c r="C21" s="172"/>
      <c r="D21" s="172"/>
      <c r="E21" s="172"/>
      <c r="F21" s="172"/>
      <c r="G21" s="172"/>
      <c r="H21" s="172"/>
      <c r="I21" s="172"/>
      <c r="J21" s="173"/>
      <c r="K21" s="173"/>
      <c r="L21" s="169"/>
      <c r="M21" s="169"/>
    </row>
    <row r="22" spans="1:13" ht="79.5" hidden="1" customHeight="1" thickBot="1" x14ac:dyDescent="0.35">
      <c r="A22" s="171" t="s">
        <v>128</v>
      </c>
      <c r="B22" s="170"/>
      <c r="C22" s="170"/>
      <c r="D22" s="170"/>
      <c r="E22" s="170"/>
      <c r="F22" s="170"/>
      <c r="G22" s="171"/>
      <c r="H22" s="182">
        <f>SUM(H8:H20)</f>
        <v>0</v>
      </c>
      <c r="I22" s="168"/>
      <c r="J22" s="169"/>
      <c r="K22" s="169"/>
      <c r="L22" s="169"/>
      <c r="M22" s="169"/>
    </row>
    <row r="23" spans="1:13" x14ac:dyDescent="0.3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</row>
  </sheetData>
  <sheetProtection selectLockedCells="1"/>
  <mergeCells count="1">
    <mergeCell ref="K1:M1"/>
  </mergeCells>
  <pageMargins left="0.7" right="0.7" top="0.75" bottom="0.75" header="0.3" footer="0.3"/>
  <pageSetup scale="48" fitToHeight="0" orientation="portrait" r:id="rId1"/>
  <headerFooter>
    <oddFooter>&amp;L&amp;A&amp;RPage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3"/>
  <sheetViews>
    <sheetView zoomScale="48" zoomScaleNormal="48" zoomScaleSheetLayoutView="90" workbookViewId="0">
      <selection activeCell="L6" sqref="L6"/>
    </sheetView>
  </sheetViews>
  <sheetFormatPr defaultColWidth="9" defaultRowHeight="16.5" x14ac:dyDescent="0.2"/>
  <cols>
    <col min="1" max="1" width="73.5" style="38" customWidth="1"/>
    <col min="2" max="2" width="23.25" style="38" customWidth="1"/>
    <col min="3" max="3" width="19.625" style="38" customWidth="1"/>
    <col min="4" max="4" width="17.375" style="38" customWidth="1"/>
    <col min="5" max="5" width="29.125" style="38" customWidth="1"/>
    <col min="6" max="6" width="28.375" style="38" customWidth="1"/>
    <col min="7" max="7" width="52.625" style="330" customWidth="1"/>
    <col min="8" max="8" width="9" style="38" customWidth="1"/>
    <col min="9" max="16384" width="9" style="38"/>
  </cols>
  <sheetData>
    <row r="1" spans="1:16" s="22" customFormat="1" ht="60" customHeight="1" thickBot="1" x14ac:dyDescent="0.65">
      <c r="A1" s="308" t="s">
        <v>74</v>
      </c>
      <c r="B1" s="196"/>
      <c r="C1" s="196"/>
      <c r="D1" s="197"/>
      <c r="E1" s="196"/>
      <c r="F1" s="269" t="s">
        <v>120</v>
      </c>
      <c r="G1" s="323"/>
      <c r="H1" s="15"/>
      <c r="I1" s="15"/>
      <c r="J1" s="20"/>
      <c r="K1" s="20"/>
      <c r="N1" s="24"/>
      <c r="O1" s="25"/>
      <c r="P1" s="26"/>
    </row>
    <row r="2" spans="1:16" s="22" customFormat="1" ht="20.25" x14ac:dyDescent="0.2">
      <c r="A2" s="321" t="s">
        <v>167</v>
      </c>
      <c r="B2" s="193"/>
      <c r="C2" s="193"/>
      <c r="D2" s="194"/>
      <c r="E2" s="193"/>
      <c r="F2" s="195"/>
      <c r="G2" s="324"/>
      <c r="H2" s="27"/>
      <c r="I2" s="20"/>
    </row>
    <row r="3" spans="1:16" s="22" customFormat="1" ht="20.25" x14ac:dyDescent="0.2">
      <c r="A3" s="166"/>
      <c r="B3" s="193"/>
      <c r="C3" s="193"/>
      <c r="D3" s="194"/>
      <c r="E3" s="193"/>
      <c r="F3" s="195"/>
      <c r="G3" s="324"/>
      <c r="H3" s="27"/>
      <c r="I3" s="20"/>
    </row>
    <row r="4" spans="1:16" s="22" customFormat="1" ht="24.75" customHeight="1" x14ac:dyDescent="0.2">
      <c r="A4" s="346" t="s">
        <v>71</v>
      </c>
      <c r="B4" s="193"/>
      <c r="C4" s="193"/>
      <c r="D4" s="194"/>
      <c r="E4" s="193"/>
      <c r="F4" s="195"/>
      <c r="G4" s="324"/>
      <c r="H4" s="28"/>
    </row>
    <row r="5" spans="1:16" s="22" customFormat="1" ht="21" thickBot="1" x14ac:dyDescent="0.25">
      <c r="A5" s="166"/>
      <c r="B5" s="193"/>
      <c r="C5" s="193"/>
      <c r="D5" s="194"/>
      <c r="E5" s="193"/>
      <c r="F5" s="195"/>
      <c r="G5" s="324"/>
      <c r="H5" s="28"/>
    </row>
    <row r="6" spans="1:16" ht="108" customHeight="1" thickBot="1" x14ac:dyDescent="0.25">
      <c r="A6" s="333" t="s">
        <v>99</v>
      </c>
      <c r="B6" s="334" t="s">
        <v>117</v>
      </c>
      <c r="C6" s="334" t="s">
        <v>116</v>
      </c>
      <c r="D6" s="331"/>
      <c r="E6" s="334" t="s">
        <v>293</v>
      </c>
      <c r="F6" s="334" t="s">
        <v>118</v>
      </c>
      <c r="G6" s="332"/>
    </row>
    <row r="7" spans="1:16" ht="63" customHeight="1" thickTop="1" thickBot="1" x14ac:dyDescent="0.25">
      <c r="A7" s="344" t="s">
        <v>122</v>
      </c>
      <c r="B7" s="311"/>
      <c r="C7" s="340"/>
      <c r="D7" s="313"/>
      <c r="E7" s="341"/>
      <c r="F7" s="342"/>
      <c r="G7" s="343"/>
    </row>
    <row r="8" spans="1:16" ht="18.75" thickTop="1" x14ac:dyDescent="0.2">
      <c r="A8" s="201"/>
      <c r="B8" s="202"/>
      <c r="C8" s="203"/>
      <c r="D8" s="203"/>
      <c r="E8" s="202"/>
      <c r="F8" s="202"/>
      <c r="G8" s="325"/>
    </row>
    <row r="9" spans="1:16" ht="23.25" x14ac:dyDescent="0.2">
      <c r="A9" s="204" t="s">
        <v>50</v>
      </c>
      <c r="B9" s="203"/>
      <c r="C9" s="203"/>
      <c r="D9" s="203"/>
      <c r="E9" s="203"/>
      <c r="F9" s="203"/>
      <c r="G9" s="325"/>
    </row>
    <row r="10" spans="1:16" ht="35.1" customHeight="1" x14ac:dyDescent="0.2">
      <c r="A10" s="205" t="s">
        <v>274</v>
      </c>
      <c r="B10" s="202" t="s">
        <v>49</v>
      </c>
      <c r="C10" s="206">
        <f>14*16</f>
        <v>224</v>
      </c>
      <c r="D10" s="203"/>
      <c r="E10" s="207">
        <f>(F10*C10)*1.35</f>
        <v>0</v>
      </c>
      <c r="F10" s="227">
        <v>0</v>
      </c>
      <c r="G10" s="325"/>
    </row>
    <row r="11" spans="1:16" ht="20.100000000000001" customHeight="1" x14ac:dyDescent="0.2">
      <c r="A11" s="205"/>
      <c r="B11" s="208"/>
      <c r="C11" s="203"/>
      <c r="D11" s="203"/>
      <c r="E11" s="203"/>
      <c r="F11" s="209"/>
      <c r="G11" s="325"/>
    </row>
    <row r="12" spans="1:16" ht="35.1" customHeight="1" x14ac:dyDescent="0.2">
      <c r="A12" s="205" t="s">
        <v>275</v>
      </c>
      <c r="B12" s="202" t="s">
        <v>52</v>
      </c>
      <c r="C12" s="206">
        <f>10*12</f>
        <v>120</v>
      </c>
      <c r="D12" s="203"/>
      <c r="E12" s="207">
        <f>(F12*C12)*1.35</f>
        <v>0</v>
      </c>
      <c r="F12" s="227">
        <v>0</v>
      </c>
      <c r="G12" s="325"/>
    </row>
    <row r="13" spans="1:16" ht="18.75" customHeight="1" x14ac:dyDescent="0.2">
      <c r="A13" s="205"/>
      <c r="B13" s="202"/>
      <c r="C13" s="206"/>
      <c r="D13" s="203"/>
      <c r="E13" s="206"/>
      <c r="F13" s="210"/>
      <c r="G13" s="325"/>
    </row>
    <row r="14" spans="1:16" ht="35.1" customHeight="1" x14ac:dyDescent="0.2">
      <c r="A14" s="205" t="s">
        <v>276</v>
      </c>
      <c r="B14" s="202" t="s">
        <v>52</v>
      </c>
      <c r="C14" s="206">
        <f>10*12</f>
        <v>120</v>
      </c>
      <c r="D14" s="203"/>
      <c r="E14" s="207">
        <f>(F14*C14)*1.35</f>
        <v>0</v>
      </c>
      <c r="F14" s="227">
        <v>0</v>
      </c>
      <c r="G14" s="325"/>
    </row>
    <row r="15" spans="1:16" ht="18.75" customHeight="1" x14ac:dyDescent="0.2">
      <c r="A15" s="205"/>
      <c r="B15" s="202"/>
      <c r="C15" s="206"/>
      <c r="D15" s="203"/>
      <c r="E15" s="206"/>
      <c r="F15" s="210"/>
      <c r="G15" s="325"/>
    </row>
    <row r="16" spans="1:16" ht="35.1" customHeight="1" x14ac:dyDescent="0.2">
      <c r="A16" s="205" t="s">
        <v>277</v>
      </c>
      <c r="B16" s="202" t="s">
        <v>51</v>
      </c>
      <c r="C16" s="206">
        <f>8*8</f>
        <v>64</v>
      </c>
      <c r="D16" s="203"/>
      <c r="E16" s="207">
        <f>(F16*C16)*1.35</f>
        <v>0</v>
      </c>
      <c r="F16" s="227">
        <v>0</v>
      </c>
      <c r="G16" s="325"/>
    </row>
    <row r="17" spans="1:7" ht="19.5" customHeight="1" x14ac:dyDescent="0.2">
      <c r="A17" s="211"/>
      <c r="B17" s="202"/>
      <c r="C17" s="206"/>
      <c r="D17" s="203"/>
      <c r="E17" s="206"/>
      <c r="F17" s="210"/>
      <c r="G17" s="325"/>
    </row>
    <row r="18" spans="1:7" ht="18" customHeight="1" x14ac:dyDescent="0.2">
      <c r="A18" s="204" t="s">
        <v>162</v>
      </c>
      <c r="B18" s="202"/>
      <c r="C18" s="206"/>
      <c r="D18" s="203"/>
      <c r="E18" s="206"/>
      <c r="F18" s="210"/>
      <c r="G18" s="325"/>
    </row>
    <row r="19" spans="1:7" ht="35.1" customHeight="1" x14ac:dyDescent="0.2">
      <c r="A19" s="205" t="s">
        <v>68</v>
      </c>
      <c r="B19" s="202" t="s">
        <v>67</v>
      </c>
      <c r="C19" s="206">
        <v>250</v>
      </c>
      <c r="D19" s="203"/>
      <c r="E19" s="207">
        <f>(F19*C19)*1.35</f>
        <v>0</v>
      </c>
      <c r="F19" s="227">
        <v>0</v>
      </c>
      <c r="G19" s="325"/>
    </row>
    <row r="20" spans="1:7" ht="18" customHeight="1" x14ac:dyDescent="0.2">
      <c r="A20" s="205"/>
      <c r="B20" s="202"/>
      <c r="C20" s="206"/>
      <c r="D20" s="203"/>
      <c r="E20" s="206"/>
      <c r="F20" s="210"/>
      <c r="G20" s="325"/>
    </row>
    <row r="21" spans="1:7" ht="35.1" customHeight="1" x14ac:dyDescent="0.2">
      <c r="A21" s="205" t="s">
        <v>70</v>
      </c>
      <c r="B21" s="202" t="s">
        <v>69</v>
      </c>
      <c r="C21" s="206">
        <v>900</v>
      </c>
      <c r="D21" s="203"/>
      <c r="E21" s="207">
        <f>(F21*C21)*1.35</f>
        <v>0</v>
      </c>
      <c r="F21" s="227">
        <v>0</v>
      </c>
      <c r="G21" s="325"/>
    </row>
    <row r="22" spans="1:7" ht="18" customHeight="1" x14ac:dyDescent="0.2">
      <c r="A22" s="205"/>
      <c r="B22" s="202"/>
      <c r="C22" s="206"/>
      <c r="D22" s="203"/>
      <c r="E22" s="206"/>
      <c r="F22" s="210"/>
      <c r="G22" s="325"/>
    </row>
    <row r="23" spans="1:7" ht="35.1" customHeight="1" x14ac:dyDescent="0.2">
      <c r="A23" s="205" t="s">
        <v>53</v>
      </c>
      <c r="B23" s="202" t="s">
        <v>54</v>
      </c>
      <c r="C23" s="206">
        <v>200</v>
      </c>
      <c r="D23" s="203"/>
      <c r="E23" s="207">
        <f>(F23*C23)*1.35</f>
        <v>0</v>
      </c>
      <c r="F23" s="227">
        <v>0</v>
      </c>
      <c r="G23" s="325"/>
    </row>
    <row r="24" spans="1:7" ht="18" customHeight="1" x14ac:dyDescent="0.2">
      <c r="A24" s="205"/>
      <c r="B24" s="202"/>
      <c r="C24" s="206"/>
      <c r="D24" s="203"/>
      <c r="E24" s="206"/>
      <c r="F24" s="210"/>
      <c r="G24" s="325"/>
    </row>
    <row r="25" spans="1:7" ht="35.1" customHeight="1" x14ac:dyDescent="0.2">
      <c r="A25" s="205" t="s">
        <v>59</v>
      </c>
      <c r="B25" s="202" t="s">
        <v>58</v>
      </c>
      <c r="C25" s="206">
        <v>350</v>
      </c>
      <c r="D25" s="203"/>
      <c r="E25" s="207">
        <f>(F25*C25)*1.35</f>
        <v>0</v>
      </c>
      <c r="F25" s="227">
        <v>0</v>
      </c>
      <c r="G25" s="325"/>
    </row>
    <row r="26" spans="1:7" ht="18" customHeight="1" x14ac:dyDescent="0.2">
      <c r="A26" s="205"/>
      <c r="B26" s="202"/>
      <c r="C26" s="206"/>
      <c r="D26" s="203"/>
      <c r="E26" s="206"/>
      <c r="F26" s="210"/>
      <c r="G26" s="325"/>
    </row>
    <row r="27" spans="1:7" ht="35.1" customHeight="1" x14ac:dyDescent="0.2">
      <c r="A27" s="205" t="s">
        <v>60</v>
      </c>
      <c r="B27" s="202" t="s">
        <v>61</v>
      </c>
      <c r="C27" s="206">
        <v>225</v>
      </c>
      <c r="D27" s="203"/>
      <c r="E27" s="207">
        <f>(F27*C27)*1.35</f>
        <v>0</v>
      </c>
      <c r="F27" s="227">
        <v>0</v>
      </c>
      <c r="G27" s="325"/>
    </row>
    <row r="28" spans="1:7" ht="18" customHeight="1" x14ac:dyDescent="0.2">
      <c r="A28" s="205"/>
      <c r="B28" s="202"/>
      <c r="C28" s="206"/>
      <c r="D28" s="203"/>
      <c r="E28" s="206"/>
      <c r="F28" s="210"/>
      <c r="G28" s="325"/>
    </row>
    <row r="29" spans="1:7" ht="35.1" customHeight="1" x14ac:dyDescent="0.2">
      <c r="A29" s="205" t="s">
        <v>55</v>
      </c>
      <c r="B29" s="202" t="s">
        <v>56</v>
      </c>
      <c r="C29" s="206">
        <v>600</v>
      </c>
      <c r="D29" s="203"/>
      <c r="E29" s="207">
        <f>(F29*C29)*1.35</f>
        <v>0</v>
      </c>
      <c r="F29" s="227">
        <v>0</v>
      </c>
      <c r="G29" s="325"/>
    </row>
    <row r="30" spans="1:7" ht="18" customHeight="1" x14ac:dyDescent="0.2">
      <c r="A30" s="205"/>
      <c r="B30" s="202"/>
      <c r="C30" s="206"/>
      <c r="D30" s="203"/>
      <c r="E30" s="206"/>
      <c r="F30" s="210"/>
      <c r="G30" s="325"/>
    </row>
    <row r="31" spans="1:7" ht="35.1" customHeight="1" x14ac:dyDescent="0.2">
      <c r="A31" s="205" t="s">
        <v>57</v>
      </c>
      <c r="B31" s="202" t="s">
        <v>54</v>
      </c>
      <c r="C31" s="206">
        <v>200</v>
      </c>
      <c r="D31" s="203"/>
      <c r="E31" s="207">
        <f>(F31*C31)*1.35</f>
        <v>0</v>
      </c>
      <c r="F31" s="227">
        <v>0</v>
      </c>
      <c r="G31" s="325"/>
    </row>
    <row r="32" spans="1:7" ht="18" customHeight="1" x14ac:dyDescent="0.2">
      <c r="A32" s="205"/>
      <c r="B32" s="202"/>
      <c r="C32" s="206"/>
      <c r="D32" s="203"/>
      <c r="E32" s="206"/>
      <c r="F32" s="210"/>
      <c r="G32" s="325"/>
    </row>
    <row r="33" spans="1:7" ht="35.1" customHeight="1" x14ac:dyDescent="0.2">
      <c r="A33" s="205" t="s">
        <v>88</v>
      </c>
      <c r="B33" s="202" t="s">
        <v>89</v>
      </c>
      <c r="C33" s="206">
        <v>400</v>
      </c>
      <c r="D33" s="203"/>
      <c r="E33" s="207">
        <f>(F33*C33)*1.35</f>
        <v>0</v>
      </c>
      <c r="F33" s="227">
        <v>0</v>
      </c>
      <c r="G33" s="325"/>
    </row>
    <row r="34" spans="1:7" ht="18" customHeight="1" x14ac:dyDescent="0.2">
      <c r="A34" s="205"/>
      <c r="B34" s="202"/>
      <c r="C34" s="206"/>
      <c r="D34" s="203"/>
      <c r="E34" s="206"/>
      <c r="F34" s="210"/>
      <c r="G34" s="325"/>
    </row>
    <row r="35" spans="1:7" ht="35.1" customHeight="1" x14ac:dyDescent="0.2">
      <c r="A35" s="205" t="s">
        <v>62</v>
      </c>
      <c r="B35" s="202" t="s">
        <v>63</v>
      </c>
      <c r="C35" s="206">
        <v>500</v>
      </c>
      <c r="D35" s="203"/>
      <c r="E35" s="207">
        <f>(F35*C35)*1.35</f>
        <v>0</v>
      </c>
      <c r="F35" s="227">
        <v>0</v>
      </c>
      <c r="G35" s="325"/>
    </row>
    <row r="36" spans="1:7" ht="18" customHeight="1" x14ac:dyDescent="0.2">
      <c r="A36" s="205"/>
      <c r="B36" s="202"/>
      <c r="C36" s="206"/>
      <c r="D36" s="203"/>
      <c r="E36" s="206"/>
      <c r="F36" s="210"/>
      <c r="G36" s="325"/>
    </row>
    <row r="37" spans="1:7" ht="35.1" customHeight="1" x14ac:dyDescent="0.2">
      <c r="A37" s="205" t="s">
        <v>124</v>
      </c>
      <c r="B37" s="202" t="s">
        <v>126</v>
      </c>
      <c r="C37" s="206">
        <v>120</v>
      </c>
      <c r="D37" s="203"/>
      <c r="E37" s="207">
        <f>(F37*C37)*1.35</f>
        <v>0</v>
      </c>
      <c r="F37" s="227">
        <v>0</v>
      </c>
      <c r="G37" s="325" t="s">
        <v>138</v>
      </c>
    </row>
    <row r="38" spans="1:7" ht="18" customHeight="1" x14ac:dyDescent="0.2">
      <c r="A38" s="205"/>
      <c r="B38" s="202"/>
      <c r="C38" s="206"/>
      <c r="D38" s="203"/>
      <c r="E38" s="206"/>
      <c r="F38" s="210"/>
      <c r="G38" s="325"/>
    </row>
    <row r="39" spans="1:7" ht="35.1" customHeight="1" x14ac:dyDescent="0.2">
      <c r="A39" s="205" t="s">
        <v>125</v>
      </c>
      <c r="B39" s="202" t="s">
        <v>126</v>
      </c>
      <c r="C39" s="206">
        <v>120</v>
      </c>
      <c r="D39" s="203"/>
      <c r="E39" s="207">
        <f>(F39*C39)*1.35</f>
        <v>0</v>
      </c>
      <c r="F39" s="227">
        <v>0</v>
      </c>
      <c r="G39" s="325" t="s">
        <v>138</v>
      </c>
    </row>
    <row r="40" spans="1:7" ht="18" customHeight="1" x14ac:dyDescent="0.2">
      <c r="A40" s="205"/>
      <c r="B40" s="202"/>
      <c r="C40" s="206"/>
      <c r="D40" s="203"/>
      <c r="E40" s="206"/>
      <c r="F40" s="210"/>
      <c r="G40" s="325"/>
    </row>
    <row r="41" spans="1:7" ht="35.1" customHeight="1" x14ac:dyDescent="0.2">
      <c r="A41" s="205" t="s">
        <v>65</v>
      </c>
      <c r="B41" s="202" t="s">
        <v>123</v>
      </c>
      <c r="C41" s="206">
        <v>700</v>
      </c>
      <c r="D41" s="203"/>
      <c r="E41" s="207">
        <f>(F41*C41)*1.35</f>
        <v>0</v>
      </c>
      <c r="F41" s="227">
        <v>0</v>
      </c>
      <c r="G41" s="325"/>
    </row>
    <row r="42" spans="1:7" ht="18" customHeight="1" x14ac:dyDescent="0.2">
      <c r="A42" s="205"/>
      <c r="B42" s="202"/>
      <c r="C42" s="206"/>
      <c r="D42" s="203"/>
      <c r="E42" s="206"/>
      <c r="F42" s="210"/>
      <c r="G42" s="325"/>
    </row>
    <row r="43" spans="1:7" ht="35.1" customHeight="1" x14ac:dyDescent="0.2">
      <c r="A43" s="205" t="s">
        <v>108</v>
      </c>
      <c r="B43" s="202" t="s">
        <v>58</v>
      </c>
      <c r="C43" s="206">
        <v>350</v>
      </c>
      <c r="D43" s="203"/>
      <c r="E43" s="207">
        <f>(F43*C43)*1.35</f>
        <v>0</v>
      </c>
      <c r="F43" s="227">
        <v>0</v>
      </c>
      <c r="G43" s="325"/>
    </row>
    <row r="44" spans="1:7" ht="18" customHeight="1" x14ac:dyDescent="0.2">
      <c r="A44" s="205"/>
      <c r="B44" s="202"/>
      <c r="C44" s="206"/>
      <c r="D44" s="203"/>
      <c r="E44" s="206"/>
      <c r="F44" s="210"/>
      <c r="G44" s="325"/>
    </row>
    <row r="45" spans="1:7" ht="35.1" customHeight="1" x14ac:dyDescent="0.2">
      <c r="A45" s="205" t="s">
        <v>66</v>
      </c>
      <c r="B45" s="202" t="s">
        <v>67</v>
      </c>
      <c r="C45" s="206">
        <v>250</v>
      </c>
      <c r="D45" s="203"/>
      <c r="E45" s="207">
        <f>(F45*C45)*1.35</f>
        <v>0</v>
      </c>
      <c r="F45" s="227">
        <v>0</v>
      </c>
      <c r="G45" s="325"/>
    </row>
    <row r="46" spans="1:7" ht="18" customHeight="1" x14ac:dyDescent="0.2">
      <c r="A46" s="211"/>
      <c r="B46" s="212"/>
      <c r="C46" s="206"/>
      <c r="D46" s="203"/>
      <c r="E46" s="206"/>
      <c r="F46" s="210"/>
      <c r="G46" s="325"/>
    </row>
    <row r="47" spans="1:7" ht="54.95" customHeight="1" x14ac:dyDescent="0.2">
      <c r="A47" s="235" t="s">
        <v>72</v>
      </c>
      <c r="B47" s="213"/>
      <c r="C47" s="213"/>
      <c r="D47" s="213"/>
      <c r="E47" s="228">
        <f>SUM(E10:E45)</f>
        <v>0</v>
      </c>
      <c r="F47" s="209"/>
      <c r="G47" s="325"/>
    </row>
    <row r="48" spans="1:7" ht="18" customHeight="1" x14ac:dyDescent="0.2">
      <c r="A48" s="211"/>
      <c r="B48" s="212"/>
      <c r="C48" s="206"/>
      <c r="D48" s="203"/>
      <c r="E48" s="206"/>
      <c r="F48" s="210"/>
      <c r="G48" s="325"/>
    </row>
    <row r="49" spans="1:7" ht="27" customHeight="1" x14ac:dyDescent="0.2">
      <c r="A49" s="204" t="s">
        <v>164</v>
      </c>
      <c r="B49" s="203"/>
      <c r="C49" s="203"/>
      <c r="D49" s="203"/>
      <c r="E49" s="203"/>
      <c r="F49" s="209"/>
      <c r="G49" s="325"/>
    </row>
    <row r="50" spans="1:7" ht="27" customHeight="1" x14ac:dyDescent="0.2">
      <c r="A50" s="204"/>
      <c r="B50" s="203"/>
      <c r="C50" s="203"/>
      <c r="D50" s="203"/>
      <c r="E50" s="203"/>
      <c r="F50" s="209"/>
      <c r="G50" s="325"/>
    </row>
    <row r="51" spans="1:7" ht="35.1" customHeight="1" x14ac:dyDescent="0.2">
      <c r="A51" s="205" t="s">
        <v>278</v>
      </c>
      <c r="B51" s="202" t="s">
        <v>49</v>
      </c>
      <c r="C51" s="206">
        <f>14*16</f>
        <v>224</v>
      </c>
      <c r="D51" s="203"/>
      <c r="E51" s="207">
        <f>(F51*C51)*1.35</f>
        <v>0</v>
      </c>
      <c r="F51" s="227">
        <v>0</v>
      </c>
      <c r="G51" s="325"/>
    </row>
    <row r="52" spans="1:7" ht="20.100000000000001" customHeight="1" x14ac:dyDescent="0.2">
      <c r="A52" s="205"/>
      <c r="B52" s="208"/>
      <c r="C52" s="203"/>
      <c r="D52" s="203"/>
      <c r="E52" s="203"/>
      <c r="F52" s="209"/>
      <c r="G52" s="325"/>
    </row>
    <row r="53" spans="1:7" ht="35.1" customHeight="1" x14ac:dyDescent="0.2">
      <c r="A53" s="205" t="s">
        <v>279</v>
      </c>
      <c r="B53" s="202" t="s">
        <v>52</v>
      </c>
      <c r="C53" s="206">
        <f>10*12</f>
        <v>120</v>
      </c>
      <c r="D53" s="203"/>
      <c r="E53" s="207">
        <f>(F53*C53)*1.35</f>
        <v>0</v>
      </c>
      <c r="F53" s="227">
        <v>0</v>
      </c>
      <c r="G53" s="325"/>
    </row>
    <row r="54" spans="1:7" ht="18.75" customHeight="1" x14ac:dyDescent="0.2">
      <c r="A54" s="205"/>
      <c r="B54" s="202"/>
      <c r="C54" s="206"/>
      <c r="D54" s="203"/>
      <c r="E54" s="206"/>
      <c r="F54" s="210"/>
      <c r="G54" s="325"/>
    </row>
    <row r="55" spans="1:7" ht="35.1" customHeight="1" x14ac:dyDescent="0.2">
      <c r="A55" s="205" t="s">
        <v>280</v>
      </c>
      <c r="B55" s="202" t="s">
        <v>163</v>
      </c>
      <c r="C55" s="206">
        <f>6*6</f>
        <v>36</v>
      </c>
      <c r="D55" s="203"/>
      <c r="E55" s="207">
        <f>(F55*C55)*1.35</f>
        <v>0</v>
      </c>
      <c r="F55" s="227">
        <v>0</v>
      </c>
      <c r="G55" s="325"/>
    </row>
    <row r="56" spans="1:7" ht="18.75" customHeight="1" x14ac:dyDescent="0.2">
      <c r="A56" s="205"/>
      <c r="B56" s="202"/>
      <c r="C56" s="206"/>
      <c r="D56" s="203"/>
      <c r="E56" s="206"/>
      <c r="F56" s="210"/>
      <c r="G56" s="325"/>
    </row>
    <row r="57" spans="1:7" ht="35.1" customHeight="1" x14ac:dyDescent="0.2">
      <c r="A57" s="205" t="s">
        <v>277</v>
      </c>
      <c r="B57" s="202" t="s">
        <v>51</v>
      </c>
      <c r="C57" s="206">
        <f>8*8</f>
        <v>64</v>
      </c>
      <c r="D57" s="203"/>
      <c r="E57" s="207">
        <f>(F57*C57)*1.35</f>
        <v>0</v>
      </c>
      <c r="F57" s="227">
        <v>0</v>
      </c>
      <c r="G57" s="325"/>
    </row>
    <row r="58" spans="1:7" ht="19.5" customHeight="1" x14ac:dyDescent="0.2">
      <c r="A58" s="205"/>
      <c r="B58" s="202"/>
      <c r="C58" s="206"/>
      <c r="D58" s="203"/>
      <c r="E58" s="206"/>
      <c r="F58" s="210"/>
      <c r="G58" s="325"/>
    </row>
    <row r="59" spans="1:7" ht="35.1" customHeight="1" x14ac:dyDescent="0.2">
      <c r="A59" s="205" t="s">
        <v>53</v>
      </c>
      <c r="B59" s="202" t="s">
        <v>54</v>
      </c>
      <c r="C59" s="206">
        <v>200</v>
      </c>
      <c r="D59" s="203"/>
      <c r="E59" s="207">
        <f>(F59*C59)*1.35</f>
        <v>0</v>
      </c>
      <c r="F59" s="227">
        <v>0</v>
      </c>
      <c r="G59" s="325"/>
    </row>
    <row r="60" spans="1:7" ht="18" customHeight="1" x14ac:dyDescent="0.2">
      <c r="A60" s="205"/>
      <c r="B60" s="202"/>
      <c r="C60" s="206"/>
      <c r="D60" s="203"/>
      <c r="E60" s="206"/>
      <c r="F60" s="210"/>
      <c r="G60" s="325"/>
    </row>
    <row r="61" spans="1:7" ht="35.1" customHeight="1" x14ac:dyDescent="0.2">
      <c r="A61" s="205" t="s">
        <v>59</v>
      </c>
      <c r="B61" s="202" t="s">
        <v>58</v>
      </c>
      <c r="C61" s="206">
        <v>350</v>
      </c>
      <c r="D61" s="203"/>
      <c r="E61" s="207">
        <f>(F61*C61)*1.35</f>
        <v>0</v>
      </c>
      <c r="F61" s="227">
        <v>0</v>
      </c>
      <c r="G61" s="325"/>
    </row>
    <row r="62" spans="1:7" ht="18" customHeight="1" x14ac:dyDescent="0.2">
      <c r="A62" s="205"/>
      <c r="B62" s="202"/>
      <c r="C62" s="206"/>
      <c r="D62" s="203"/>
      <c r="E62" s="206"/>
      <c r="F62" s="210"/>
      <c r="G62" s="325"/>
    </row>
    <row r="63" spans="1:7" ht="35.1" customHeight="1" x14ac:dyDescent="0.2">
      <c r="A63" s="205" t="s">
        <v>60</v>
      </c>
      <c r="B63" s="202" t="s">
        <v>61</v>
      </c>
      <c r="C63" s="206">
        <v>225</v>
      </c>
      <c r="D63" s="203"/>
      <c r="E63" s="207">
        <f>(F63*C63)*1.35</f>
        <v>0</v>
      </c>
      <c r="F63" s="227">
        <v>0</v>
      </c>
      <c r="G63" s="325"/>
    </row>
    <row r="64" spans="1:7" ht="19.5" customHeight="1" x14ac:dyDescent="0.2">
      <c r="A64" s="211"/>
      <c r="B64" s="202"/>
      <c r="C64" s="206"/>
      <c r="D64" s="203"/>
      <c r="E64" s="206"/>
      <c r="F64" s="210"/>
      <c r="G64" s="325"/>
    </row>
    <row r="65" spans="1:7" ht="24.75" customHeight="1" x14ac:dyDescent="0.2">
      <c r="A65" s="204" t="s">
        <v>165</v>
      </c>
      <c r="B65" s="202"/>
      <c r="C65" s="206"/>
      <c r="D65" s="203"/>
      <c r="E65" s="206"/>
      <c r="F65" s="210"/>
      <c r="G65" s="325"/>
    </row>
    <row r="66" spans="1:7" ht="35.1" customHeight="1" x14ac:dyDescent="0.2">
      <c r="A66" s="205" t="s">
        <v>166</v>
      </c>
      <c r="B66" s="202" t="s">
        <v>127</v>
      </c>
      <c r="C66" s="206">
        <v>9</v>
      </c>
      <c r="D66" s="203"/>
      <c r="E66" s="207">
        <f>(F66*C66)*1.35</f>
        <v>0</v>
      </c>
      <c r="F66" s="231">
        <f>('Fleet Data Entry'!J8+'Fleet Data Entry'!J10+'Fleet Data Entry'!J12+'Fleet Data Entry'!J14+'Fleet Data Entry'!J16)*2.1</f>
        <v>0</v>
      </c>
      <c r="G66" s="325" t="s">
        <v>258</v>
      </c>
    </row>
    <row r="67" spans="1:7" ht="18" customHeight="1" x14ac:dyDescent="0.2">
      <c r="A67" s="205"/>
      <c r="B67" s="202"/>
      <c r="C67" s="206"/>
      <c r="D67" s="203"/>
      <c r="E67" s="206"/>
      <c r="F67" s="210"/>
      <c r="G67" s="325"/>
    </row>
    <row r="68" spans="1:7" ht="35.1" customHeight="1" x14ac:dyDescent="0.2">
      <c r="A68" s="205" t="s">
        <v>210</v>
      </c>
      <c r="B68" s="202" t="s">
        <v>61</v>
      </c>
      <c r="C68" s="206">
        <v>225</v>
      </c>
      <c r="D68" s="203"/>
      <c r="E68" s="207">
        <f>(F68*C68)*1.35</f>
        <v>0</v>
      </c>
      <c r="F68" s="227">
        <v>0</v>
      </c>
      <c r="G68" s="325"/>
    </row>
    <row r="69" spans="1:7" ht="18" customHeight="1" x14ac:dyDescent="0.2">
      <c r="A69" s="205"/>
      <c r="B69" s="202"/>
      <c r="C69" s="206"/>
      <c r="D69" s="203"/>
      <c r="E69" s="206"/>
      <c r="F69" s="210"/>
      <c r="G69" s="325"/>
    </row>
    <row r="70" spans="1:7" ht="35.1" customHeight="1" x14ac:dyDescent="0.2">
      <c r="A70" s="205" t="s">
        <v>211</v>
      </c>
      <c r="B70" s="202" t="s">
        <v>61</v>
      </c>
      <c r="C70" s="206">
        <v>225</v>
      </c>
      <c r="D70" s="203"/>
      <c r="E70" s="207">
        <f>(F70*C70)*1.35</f>
        <v>0</v>
      </c>
      <c r="F70" s="227">
        <v>0</v>
      </c>
      <c r="G70" s="325"/>
    </row>
    <row r="71" spans="1:7" ht="18" customHeight="1" x14ac:dyDescent="0.2">
      <c r="A71" s="205"/>
      <c r="B71" s="202"/>
      <c r="C71" s="206"/>
      <c r="D71" s="203"/>
      <c r="E71" s="206"/>
      <c r="F71" s="210"/>
      <c r="G71" s="325"/>
    </row>
    <row r="72" spans="1:7" ht="35.1" customHeight="1" x14ac:dyDescent="0.2">
      <c r="A72" s="205" t="s">
        <v>213</v>
      </c>
      <c r="B72" s="202" t="s">
        <v>214</v>
      </c>
      <c r="C72" s="206">
        <v>3</v>
      </c>
      <c r="D72" s="203"/>
      <c r="E72" s="207">
        <f>(F72*C72)*1.35</f>
        <v>0</v>
      </c>
      <c r="F72" s="231">
        <f>F66</f>
        <v>0</v>
      </c>
      <c r="G72" s="325" t="s">
        <v>257</v>
      </c>
    </row>
    <row r="73" spans="1:7" ht="18" customHeight="1" x14ac:dyDescent="0.2">
      <c r="A73" s="205"/>
      <c r="B73" s="202"/>
      <c r="C73" s="206"/>
      <c r="D73" s="203"/>
      <c r="E73" s="206"/>
      <c r="F73" s="210"/>
      <c r="G73" s="325"/>
    </row>
    <row r="74" spans="1:7" ht="35.1" customHeight="1" x14ac:dyDescent="0.2">
      <c r="A74" s="205" t="s">
        <v>55</v>
      </c>
      <c r="B74" s="202" t="s">
        <v>56</v>
      </c>
      <c r="C74" s="206">
        <v>600</v>
      </c>
      <c r="D74" s="203"/>
      <c r="E74" s="207">
        <f>(F74*C74)*1.35</f>
        <v>0</v>
      </c>
      <c r="F74" s="227">
        <v>0</v>
      </c>
      <c r="G74" s="325"/>
    </row>
    <row r="75" spans="1:7" ht="18" customHeight="1" x14ac:dyDescent="0.2">
      <c r="A75" s="205"/>
      <c r="B75" s="202"/>
      <c r="C75" s="206"/>
      <c r="D75" s="203"/>
      <c r="E75" s="206"/>
      <c r="F75" s="210"/>
      <c r="G75" s="325"/>
    </row>
    <row r="76" spans="1:7" ht="35.1" customHeight="1" x14ac:dyDescent="0.2">
      <c r="A76" s="205" t="s">
        <v>57</v>
      </c>
      <c r="B76" s="202" t="s">
        <v>54</v>
      </c>
      <c r="C76" s="206">
        <v>200</v>
      </c>
      <c r="D76" s="203"/>
      <c r="E76" s="207">
        <f>(F76*C76)*1.35</f>
        <v>0</v>
      </c>
      <c r="F76" s="227">
        <v>0</v>
      </c>
      <c r="G76" s="325"/>
    </row>
    <row r="77" spans="1:7" ht="18" customHeight="1" x14ac:dyDescent="0.2">
      <c r="A77" s="205"/>
      <c r="B77" s="202"/>
      <c r="C77" s="206"/>
      <c r="D77" s="203"/>
      <c r="E77" s="206"/>
      <c r="F77" s="210"/>
      <c r="G77" s="325"/>
    </row>
    <row r="78" spans="1:7" ht="35.1" customHeight="1" x14ac:dyDescent="0.2">
      <c r="A78" s="205" t="s">
        <v>290</v>
      </c>
      <c r="B78" s="202" t="s">
        <v>123</v>
      </c>
      <c r="C78" s="206">
        <v>700</v>
      </c>
      <c r="D78" s="203"/>
      <c r="E78" s="207">
        <f>(F78*C78)*1.35</f>
        <v>0</v>
      </c>
      <c r="F78" s="227">
        <v>0</v>
      </c>
      <c r="G78" s="325"/>
    </row>
    <row r="79" spans="1:7" ht="18" customHeight="1" x14ac:dyDescent="0.2">
      <c r="A79" s="205"/>
      <c r="B79" s="202"/>
      <c r="C79" s="206"/>
      <c r="D79" s="203"/>
      <c r="E79" s="206"/>
      <c r="F79" s="210"/>
      <c r="G79" s="325"/>
    </row>
    <row r="80" spans="1:7" ht="35.1" customHeight="1" x14ac:dyDescent="0.2">
      <c r="A80" s="205" t="s">
        <v>291</v>
      </c>
      <c r="B80" s="202" t="s">
        <v>58</v>
      </c>
      <c r="C80" s="206">
        <v>350</v>
      </c>
      <c r="D80" s="203"/>
      <c r="E80" s="207">
        <f>(F80*C80)*1.35</f>
        <v>0</v>
      </c>
      <c r="F80" s="227">
        <v>0</v>
      </c>
      <c r="G80" s="325"/>
    </row>
    <row r="81" spans="1:7" ht="20.100000000000001" customHeight="1" x14ac:dyDescent="0.2">
      <c r="A81" s="211"/>
      <c r="B81" s="212"/>
      <c r="C81" s="206"/>
      <c r="D81" s="203"/>
      <c r="E81" s="206"/>
      <c r="F81" s="210"/>
      <c r="G81" s="325"/>
    </row>
    <row r="82" spans="1:7" ht="54.95" customHeight="1" x14ac:dyDescent="0.2">
      <c r="A82" s="235" t="s">
        <v>212</v>
      </c>
      <c r="B82" s="213"/>
      <c r="C82" s="213"/>
      <c r="D82" s="213"/>
      <c r="E82" s="228">
        <f>SUM(E51:E80)</f>
        <v>0</v>
      </c>
      <c r="F82" s="203"/>
      <c r="G82" s="325"/>
    </row>
    <row r="83" spans="1:7" ht="22.5" customHeight="1" x14ac:dyDescent="0.2">
      <c r="A83" s="214"/>
      <c r="B83" s="203"/>
      <c r="C83" s="203"/>
      <c r="D83" s="203"/>
      <c r="E83" s="203"/>
      <c r="F83" s="203"/>
      <c r="G83" s="325"/>
    </row>
    <row r="84" spans="1:7" ht="50.25" customHeight="1" x14ac:dyDescent="0.2">
      <c r="A84" s="215" t="s">
        <v>82</v>
      </c>
      <c r="B84" s="212"/>
      <c r="C84" s="206"/>
      <c r="D84" s="206"/>
      <c r="E84" s="206"/>
      <c r="F84" s="216"/>
      <c r="G84" s="325"/>
    </row>
    <row r="85" spans="1:7" ht="20.100000000000001" customHeight="1" x14ac:dyDescent="0.2">
      <c r="A85" s="211"/>
      <c r="B85" s="212"/>
      <c r="C85" s="206"/>
      <c r="D85" s="206"/>
      <c r="E85" s="206"/>
      <c r="F85" s="216"/>
      <c r="G85" s="325"/>
    </row>
    <row r="86" spans="1:7" ht="27" customHeight="1" x14ac:dyDescent="0.2">
      <c r="A86" s="204" t="s">
        <v>98</v>
      </c>
      <c r="B86" s="203"/>
      <c r="C86" s="203"/>
      <c r="D86" s="203"/>
      <c r="E86" s="203"/>
      <c r="F86" s="209"/>
      <c r="G86" s="325"/>
    </row>
    <row r="87" spans="1:7" ht="35.1" customHeight="1" x14ac:dyDescent="0.2">
      <c r="A87" s="205" t="s">
        <v>83</v>
      </c>
      <c r="B87" s="202" t="s">
        <v>49</v>
      </c>
      <c r="C87" s="206">
        <f>14*16</f>
        <v>224</v>
      </c>
      <c r="D87" s="203"/>
      <c r="E87" s="207">
        <f>(F87*C87)*1.35</f>
        <v>0</v>
      </c>
      <c r="F87" s="227">
        <v>0</v>
      </c>
      <c r="G87" s="325"/>
    </row>
    <row r="88" spans="1:7" ht="20.100000000000001" customHeight="1" x14ac:dyDescent="0.2">
      <c r="A88" s="205"/>
      <c r="B88" s="202"/>
      <c r="C88" s="206"/>
      <c r="D88" s="203"/>
      <c r="E88" s="206"/>
      <c r="F88" s="210"/>
      <c r="G88" s="325"/>
    </row>
    <row r="89" spans="1:7" ht="35.1" customHeight="1" x14ac:dyDescent="0.2">
      <c r="A89" s="205" t="s">
        <v>84</v>
      </c>
      <c r="B89" s="202" t="s">
        <v>85</v>
      </c>
      <c r="C89" s="206">
        <v>100</v>
      </c>
      <c r="D89" s="203"/>
      <c r="E89" s="207">
        <f>(F89*C89)*1.35</f>
        <v>0</v>
      </c>
      <c r="F89" s="227">
        <v>0</v>
      </c>
      <c r="G89" s="325"/>
    </row>
    <row r="90" spans="1:7" ht="20.100000000000001" customHeight="1" x14ac:dyDescent="0.2">
      <c r="A90" s="211"/>
      <c r="B90" s="202"/>
      <c r="C90" s="206"/>
      <c r="D90" s="203"/>
      <c r="E90" s="206"/>
      <c r="F90" s="210"/>
      <c r="G90" s="325"/>
    </row>
    <row r="91" spans="1:7" ht="18" customHeight="1" x14ac:dyDescent="0.2">
      <c r="A91" s="204" t="s">
        <v>96</v>
      </c>
      <c r="B91" s="202"/>
      <c r="C91" s="206"/>
      <c r="D91" s="203"/>
      <c r="E91" s="206"/>
      <c r="F91" s="210"/>
      <c r="G91" s="325"/>
    </row>
    <row r="92" spans="1:7" ht="35.1" customHeight="1" x14ac:dyDescent="0.2">
      <c r="A92" s="205" t="s">
        <v>68</v>
      </c>
      <c r="B92" s="202" t="s">
        <v>86</v>
      </c>
      <c r="C92" s="206">
        <v>150</v>
      </c>
      <c r="D92" s="203"/>
      <c r="E92" s="207">
        <f>(F92*C92)*1.35</f>
        <v>0</v>
      </c>
      <c r="F92" s="227">
        <v>0</v>
      </c>
      <c r="G92" s="325"/>
    </row>
    <row r="93" spans="1:7" ht="18" customHeight="1" x14ac:dyDescent="0.2">
      <c r="A93" s="205"/>
      <c r="B93" s="202"/>
      <c r="C93" s="206"/>
      <c r="D93" s="203"/>
      <c r="E93" s="206"/>
      <c r="F93" s="210"/>
      <c r="G93" s="325"/>
    </row>
    <row r="94" spans="1:7" ht="35.1" customHeight="1" x14ac:dyDescent="0.2">
      <c r="A94" s="205" t="s">
        <v>87</v>
      </c>
      <c r="B94" s="202" t="s">
        <v>86</v>
      </c>
      <c r="C94" s="206">
        <v>150</v>
      </c>
      <c r="D94" s="203"/>
      <c r="E94" s="207">
        <f>(F94*C94)*1.35</f>
        <v>0</v>
      </c>
      <c r="F94" s="227">
        <v>0</v>
      </c>
      <c r="G94" s="325"/>
    </row>
    <row r="95" spans="1:7" ht="18" customHeight="1" x14ac:dyDescent="0.2">
      <c r="A95" s="205"/>
      <c r="B95" s="202"/>
      <c r="C95" s="206"/>
      <c r="D95" s="203"/>
      <c r="E95" s="206"/>
      <c r="F95" s="210"/>
      <c r="G95" s="325"/>
    </row>
    <row r="96" spans="1:7" ht="35.1" customHeight="1" x14ac:dyDescent="0.2">
      <c r="A96" s="205" t="s">
        <v>60</v>
      </c>
      <c r="B96" s="202" t="s">
        <v>61</v>
      </c>
      <c r="C96" s="206">
        <v>225</v>
      </c>
      <c r="D96" s="203"/>
      <c r="E96" s="207">
        <f>(F96*C96)*1.35</f>
        <v>0</v>
      </c>
      <c r="F96" s="227">
        <v>0</v>
      </c>
      <c r="G96" s="325"/>
    </row>
    <row r="97" spans="1:7" ht="18" customHeight="1" x14ac:dyDescent="0.2">
      <c r="A97" s="205"/>
      <c r="B97" s="202"/>
      <c r="C97" s="206"/>
      <c r="D97" s="203"/>
      <c r="E97" s="206"/>
      <c r="F97" s="210"/>
      <c r="G97" s="325"/>
    </row>
    <row r="98" spans="1:7" ht="35.1" customHeight="1" x14ac:dyDescent="0.2">
      <c r="A98" s="205" t="s">
        <v>90</v>
      </c>
      <c r="B98" s="202" t="s">
        <v>56</v>
      </c>
      <c r="C98" s="206">
        <v>600</v>
      </c>
      <c r="D98" s="203"/>
      <c r="E98" s="207">
        <f>(F98*C98)*1.35</f>
        <v>0</v>
      </c>
      <c r="F98" s="227">
        <v>0</v>
      </c>
      <c r="G98" s="325"/>
    </row>
    <row r="99" spans="1:7" ht="18" customHeight="1" x14ac:dyDescent="0.2">
      <c r="A99" s="205"/>
      <c r="B99" s="202"/>
      <c r="C99" s="206"/>
      <c r="D99" s="203"/>
      <c r="E99" s="206"/>
      <c r="F99" s="210"/>
      <c r="G99" s="325"/>
    </row>
    <row r="100" spans="1:7" ht="35.1" customHeight="1" x14ac:dyDescent="0.2">
      <c r="A100" s="205" t="s">
        <v>57</v>
      </c>
      <c r="B100" s="202" t="s">
        <v>54</v>
      </c>
      <c r="C100" s="206">
        <v>200</v>
      </c>
      <c r="D100" s="203"/>
      <c r="E100" s="207">
        <f>(F100*C100)*1.35</f>
        <v>0</v>
      </c>
      <c r="F100" s="227">
        <v>0</v>
      </c>
      <c r="G100" s="325"/>
    </row>
    <row r="101" spans="1:7" ht="18" customHeight="1" x14ac:dyDescent="0.2">
      <c r="A101" s="205"/>
      <c r="B101" s="202"/>
      <c r="C101" s="206"/>
      <c r="D101" s="203"/>
      <c r="E101" s="206"/>
      <c r="F101" s="210"/>
      <c r="G101" s="325"/>
    </row>
    <row r="102" spans="1:7" ht="35.1" customHeight="1" x14ac:dyDescent="0.2">
      <c r="A102" s="205" t="s">
        <v>88</v>
      </c>
      <c r="B102" s="202" t="s">
        <v>89</v>
      </c>
      <c r="C102" s="206">
        <v>400</v>
      </c>
      <c r="D102" s="203"/>
      <c r="E102" s="207">
        <f>(F102*C102)*1.35</f>
        <v>0</v>
      </c>
      <c r="F102" s="227">
        <v>0</v>
      </c>
      <c r="G102" s="325"/>
    </row>
    <row r="103" spans="1:7" ht="18" customHeight="1" x14ac:dyDescent="0.2">
      <c r="A103" s="205"/>
      <c r="B103" s="202"/>
      <c r="C103" s="206"/>
      <c r="D103" s="203"/>
      <c r="E103" s="206"/>
      <c r="F103" s="210"/>
      <c r="G103" s="325"/>
    </row>
    <row r="104" spans="1:7" ht="35.1" customHeight="1" x14ac:dyDescent="0.2">
      <c r="A104" s="205" t="s">
        <v>62</v>
      </c>
      <c r="B104" s="202" t="s">
        <v>63</v>
      </c>
      <c r="C104" s="206">
        <v>500</v>
      </c>
      <c r="D104" s="203"/>
      <c r="E104" s="207">
        <f>(F104*C104)*1.35</f>
        <v>0</v>
      </c>
      <c r="F104" s="227">
        <v>0</v>
      </c>
      <c r="G104" s="325"/>
    </row>
    <row r="105" spans="1:7" ht="18" customHeight="1" x14ac:dyDescent="0.2">
      <c r="A105" s="205"/>
      <c r="B105" s="202"/>
      <c r="C105" s="206"/>
      <c r="D105" s="203"/>
      <c r="E105" s="206"/>
      <c r="F105" s="210"/>
      <c r="G105" s="325"/>
    </row>
    <row r="106" spans="1:7" ht="35.1" customHeight="1" x14ac:dyDescent="0.2">
      <c r="A106" s="205" t="s">
        <v>65</v>
      </c>
      <c r="B106" s="202" t="s">
        <v>91</v>
      </c>
      <c r="C106" s="206">
        <v>450</v>
      </c>
      <c r="D106" s="203"/>
      <c r="E106" s="207">
        <f>(F106*C106)*1.35</f>
        <v>0</v>
      </c>
      <c r="F106" s="227">
        <v>0</v>
      </c>
      <c r="G106" s="325"/>
    </row>
    <row r="107" spans="1:7" ht="18" customHeight="1" x14ac:dyDescent="0.2">
      <c r="A107" s="205"/>
      <c r="B107" s="202"/>
      <c r="C107" s="206"/>
      <c r="D107" s="203"/>
      <c r="E107" s="206"/>
      <c r="F107" s="210"/>
      <c r="G107" s="325"/>
    </row>
    <row r="108" spans="1:7" ht="35.1" customHeight="1" x14ac:dyDescent="0.2">
      <c r="A108" s="205" t="s">
        <v>108</v>
      </c>
      <c r="B108" s="202" t="s">
        <v>67</v>
      </c>
      <c r="C108" s="206">
        <v>250</v>
      </c>
      <c r="D108" s="203"/>
      <c r="E108" s="207">
        <f>(F108*C108)*1.35</f>
        <v>0</v>
      </c>
      <c r="F108" s="227">
        <v>0</v>
      </c>
      <c r="G108" s="325"/>
    </row>
    <row r="109" spans="1:7" ht="18" customHeight="1" x14ac:dyDescent="0.2">
      <c r="A109" s="211"/>
      <c r="B109" s="202"/>
      <c r="C109" s="206"/>
      <c r="D109" s="203"/>
      <c r="E109" s="206"/>
      <c r="F109" s="206"/>
      <c r="G109" s="325"/>
    </row>
    <row r="110" spans="1:7" ht="27" customHeight="1" x14ac:dyDescent="0.2">
      <c r="A110" s="204" t="s">
        <v>292</v>
      </c>
      <c r="B110" s="217"/>
      <c r="C110" s="203"/>
      <c r="D110" s="203"/>
      <c r="E110" s="203"/>
      <c r="F110" s="218"/>
      <c r="G110" s="325"/>
    </row>
    <row r="111" spans="1:7" ht="35.1" customHeight="1" x14ac:dyDescent="0.2">
      <c r="A111" s="205" t="s">
        <v>152</v>
      </c>
      <c r="B111" s="202" t="s">
        <v>153</v>
      </c>
      <c r="C111" s="206">
        <f>20*75</f>
        <v>1500</v>
      </c>
      <c r="D111" s="203"/>
      <c r="E111" s="207">
        <f>(F111*C111)*1.2</f>
        <v>0</v>
      </c>
      <c r="F111" s="231">
        <f>ROUNDUP((('Fleet Data Entry'!J8+'Fleet Data Entry'!J16)/10),0)</f>
        <v>0</v>
      </c>
      <c r="G111" s="326" t="s">
        <v>194</v>
      </c>
    </row>
    <row r="112" spans="1:7" ht="20.100000000000001" customHeight="1" x14ac:dyDescent="0.2">
      <c r="A112" s="219"/>
      <c r="B112" s="217"/>
      <c r="C112" s="203"/>
      <c r="D112" s="203"/>
      <c r="E112" s="207"/>
      <c r="F112" s="232"/>
      <c r="G112" s="326"/>
    </row>
    <row r="113" spans="1:7" ht="35.1" customHeight="1" x14ac:dyDescent="0.2">
      <c r="A113" s="205" t="s">
        <v>154</v>
      </c>
      <c r="B113" s="202" t="s">
        <v>153</v>
      </c>
      <c r="C113" s="206">
        <f>20*75</f>
        <v>1500</v>
      </c>
      <c r="D113" s="203"/>
      <c r="E113" s="207">
        <f>(F113*C113)*1.2</f>
        <v>0</v>
      </c>
      <c r="F113" s="231">
        <f>ROUNDUP((('Fleet Data Entry'!J8+'Fleet Data Entry'!J14+'Fleet Data Entry'!J16)/50),0)</f>
        <v>0</v>
      </c>
      <c r="G113" s="326" t="s">
        <v>195</v>
      </c>
    </row>
    <row r="114" spans="1:7" ht="20.100000000000001" customHeight="1" x14ac:dyDescent="0.2">
      <c r="A114" s="219"/>
      <c r="B114" s="217"/>
      <c r="C114" s="203"/>
      <c r="D114" s="203"/>
      <c r="E114" s="207"/>
      <c r="F114" s="233"/>
      <c r="G114" s="326"/>
    </row>
    <row r="115" spans="1:7" ht="35.1" customHeight="1" x14ac:dyDescent="0.2">
      <c r="A115" s="205" t="s">
        <v>183</v>
      </c>
      <c r="B115" s="202" t="s">
        <v>182</v>
      </c>
      <c r="C115" s="206">
        <f>20*60</f>
        <v>1200</v>
      </c>
      <c r="D115" s="203"/>
      <c r="E115" s="207">
        <f>(F115*C115)*1.2</f>
        <v>0</v>
      </c>
      <c r="F115" s="231">
        <f>ROUNDUP((('Fleet Data Entry'!J12+'Fleet Data Entry'!J14)/15),0)</f>
        <v>0</v>
      </c>
      <c r="G115" s="326" t="s">
        <v>196</v>
      </c>
    </row>
    <row r="116" spans="1:7" ht="20.100000000000001" customHeight="1" x14ac:dyDescent="0.2">
      <c r="A116" s="219"/>
      <c r="B116" s="217"/>
      <c r="C116" s="203"/>
      <c r="D116" s="203"/>
      <c r="E116" s="207"/>
      <c r="F116" s="233"/>
      <c r="G116" s="326"/>
    </row>
    <row r="117" spans="1:7" ht="35.1" customHeight="1" x14ac:dyDescent="0.2">
      <c r="A117" s="205" t="s">
        <v>184</v>
      </c>
      <c r="B117" s="202" t="s">
        <v>182</v>
      </c>
      <c r="C117" s="206">
        <f>20*60</f>
        <v>1200</v>
      </c>
      <c r="D117" s="203"/>
      <c r="E117" s="207">
        <f>(F117*C117)*1.2</f>
        <v>0</v>
      </c>
      <c r="F117" s="231">
        <f>ROUNDUP((('Fleet Data Entry'!J12+'Fleet Data Entry'!J14)/50),0)</f>
        <v>0</v>
      </c>
      <c r="G117" s="326" t="s">
        <v>195</v>
      </c>
    </row>
    <row r="118" spans="1:7" ht="20.100000000000001" customHeight="1" x14ac:dyDescent="0.2">
      <c r="A118" s="219"/>
      <c r="B118" s="217"/>
      <c r="C118" s="203"/>
      <c r="D118" s="203"/>
      <c r="E118" s="207"/>
      <c r="F118" s="233"/>
      <c r="G118" s="326"/>
    </row>
    <row r="119" spans="1:7" ht="35.1" customHeight="1" x14ac:dyDescent="0.2">
      <c r="A119" s="205" t="s">
        <v>185</v>
      </c>
      <c r="B119" s="202" t="s">
        <v>93</v>
      </c>
      <c r="C119" s="206">
        <f>16*35</f>
        <v>560</v>
      </c>
      <c r="D119" s="203"/>
      <c r="E119" s="207">
        <f>(F119*C119)*1.2</f>
        <v>0</v>
      </c>
      <c r="F119" s="231">
        <f>ROUNDUP((('Fleet Data Entry'!J16)/35),0)</f>
        <v>0</v>
      </c>
      <c r="G119" s="326" t="s">
        <v>197</v>
      </c>
    </row>
    <row r="120" spans="1:7" ht="20.100000000000001" customHeight="1" x14ac:dyDescent="0.2">
      <c r="A120" s="219"/>
      <c r="B120" s="217"/>
      <c r="C120" s="203"/>
      <c r="D120" s="203"/>
      <c r="E120" s="207"/>
      <c r="F120" s="234"/>
      <c r="G120" s="326"/>
    </row>
    <row r="121" spans="1:7" ht="35.1" customHeight="1" x14ac:dyDescent="0.2">
      <c r="A121" s="205" t="s">
        <v>186</v>
      </c>
      <c r="B121" s="202" t="s">
        <v>93</v>
      </c>
      <c r="C121" s="206">
        <f>16*35</f>
        <v>560</v>
      </c>
      <c r="D121" s="203"/>
      <c r="E121" s="207">
        <f>(F121*C121)*1.2</f>
        <v>0</v>
      </c>
      <c r="F121" s="231">
        <f>ROUNDUP((('Fleet Data Entry'!J16)/100),0)</f>
        <v>0</v>
      </c>
      <c r="G121" s="326" t="s">
        <v>198</v>
      </c>
    </row>
    <row r="122" spans="1:7" ht="20.100000000000001" customHeight="1" x14ac:dyDescent="0.2">
      <c r="A122" s="219"/>
      <c r="B122" s="217"/>
      <c r="C122" s="203"/>
      <c r="D122" s="203"/>
      <c r="E122" s="207"/>
      <c r="F122" s="218"/>
      <c r="G122" s="325"/>
    </row>
    <row r="123" spans="1:7" ht="35.1" customHeight="1" x14ac:dyDescent="0.2">
      <c r="A123" s="205" t="s">
        <v>187</v>
      </c>
      <c r="B123" s="202" t="s">
        <v>188</v>
      </c>
      <c r="C123" s="206">
        <f>35*80</f>
        <v>2800</v>
      </c>
      <c r="D123" s="203"/>
      <c r="E123" s="207">
        <f>(F123*C123)*1.2</f>
        <v>0</v>
      </c>
      <c r="F123" s="229">
        <v>0</v>
      </c>
      <c r="G123" s="325"/>
    </row>
    <row r="124" spans="1:7" ht="20.100000000000001" customHeight="1" x14ac:dyDescent="0.2">
      <c r="A124" s="219"/>
      <c r="B124" s="217"/>
      <c r="C124" s="203"/>
      <c r="D124" s="203"/>
      <c r="E124" s="207"/>
      <c r="F124" s="220"/>
      <c r="G124" s="325"/>
    </row>
    <row r="125" spans="1:7" ht="35.1" customHeight="1" x14ac:dyDescent="0.2">
      <c r="A125" s="205" t="s">
        <v>199</v>
      </c>
      <c r="B125" s="202" t="s">
        <v>189</v>
      </c>
      <c r="C125" s="206">
        <f>25*75</f>
        <v>1875</v>
      </c>
      <c r="D125" s="203"/>
      <c r="E125" s="207">
        <f>(F125*C125)*1.2</f>
        <v>0</v>
      </c>
      <c r="F125" s="229">
        <v>0</v>
      </c>
      <c r="G125" s="325" t="s">
        <v>202</v>
      </c>
    </row>
    <row r="126" spans="1:7" ht="20.100000000000001" customHeight="1" x14ac:dyDescent="0.2">
      <c r="A126" s="219"/>
      <c r="B126" s="217"/>
      <c r="C126" s="203"/>
      <c r="D126" s="203"/>
      <c r="E126" s="207"/>
      <c r="F126" s="220"/>
      <c r="G126" s="325"/>
    </row>
    <row r="127" spans="1:7" ht="35.1" customHeight="1" x14ac:dyDescent="0.2">
      <c r="A127" s="205" t="s">
        <v>200</v>
      </c>
      <c r="B127" s="202" t="s">
        <v>201</v>
      </c>
      <c r="C127" s="206">
        <f>25*75</f>
        <v>1875</v>
      </c>
      <c r="D127" s="203"/>
      <c r="E127" s="207">
        <f>(F127*C127)*1.2</f>
        <v>0</v>
      </c>
      <c r="F127" s="229">
        <v>0</v>
      </c>
      <c r="G127" s="325" t="s">
        <v>203</v>
      </c>
    </row>
    <row r="128" spans="1:7" ht="20.100000000000001" customHeight="1" x14ac:dyDescent="0.2">
      <c r="A128" s="219"/>
      <c r="B128" s="217"/>
      <c r="C128" s="203"/>
      <c r="D128" s="203"/>
      <c r="E128" s="207"/>
      <c r="F128" s="220"/>
      <c r="G128" s="325"/>
    </row>
    <row r="129" spans="1:7" ht="35.1" customHeight="1" x14ac:dyDescent="0.2">
      <c r="A129" s="205" t="s">
        <v>190</v>
      </c>
      <c r="B129" s="202" t="s">
        <v>189</v>
      </c>
      <c r="C129" s="206">
        <f>25*50</f>
        <v>1250</v>
      </c>
      <c r="D129" s="203"/>
      <c r="E129" s="207">
        <f>(F129*C129)*1.2</f>
        <v>0</v>
      </c>
      <c r="F129" s="229">
        <v>0</v>
      </c>
      <c r="G129" s="325" t="s">
        <v>202</v>
      </c>
    </row>
    <row r="130" spans="1:7" ht="20.100000000000001" customHeight="1" x14ac:dyDescent="0.2">
      <c r="A130" s="219"/>
      <c r="B130" s="217"/>
      <c r="C130" s="203"/>
      <c r="D130" s="203"/>
      <c r="E130" s="207"/>
      <c r="F130" s="209"/>
      <c r="G130" s="325"/>
    </row>
    <row r="131" spans="1:7" ht="35.1" customHeight="1" x14ac:dyDescent="0.2">
      <c r="A131" s="205" t="s">
        <v>204</v>
      </c>
      <c r="B131" s="202" t="s">
        <v>201</v>
      </c>
      <c r="C131" s="206">
        <f>25*50</f>
        <v>1250</v>
      </c>
      <c r="D131" s="203"/>
      <c r="E131" s="207">
        <f>(F131*C131)*1.2</f>
        <v>0</v>
      </c>
      <c r="F131" s="229">
        <v>0</v>
      </c>
      <c r="G131" s="325" t="s">
        <v>203</v>
      </c>
    </row>
    <row r="132" spans="1:7" ht="20.100000000000001" customHeight="1" x14ac:dyDescent="0.2">
      <c r="A132" s="219"/>
      <c r="B132" s="217"/>
      <c r="C132" s="203"/>
      <c r="D132" s="203"/>
      <c r="E132" s="207"/>
      <c r="F132" s="209"/>
      <c r="G132" s="325"/>
    </row>
    <row r="133" spans="1:7" ht="35.1" customHeight="1" x14ac:dyDescent="0.2">
      <c r="A133" s="205" t="s">
        <v>92</v>
      </c>
      <c r="B133" s="202" t="s">
        <v>205</v>
      </c>
      <c r="C133" s="206">
        <v>50</v>
      </c>
      <c r="D133" s="203"/>
      <c r="E133" s="207">
        <f>(F133*C133)*1.2</f>
        <v>0</v>
      </c>
      <c r="F133" s="231">
        <f>ROUNDUP((F115+F117+F119+F121),0)</f>
        <v>0</v>
      </c>
      <c r="G133" s="327" t="s">
        <v>208</v>
      </c>
    </row>
    <row r="134" spans="1:7" ht="20.100000000000001" customHeight="1" x14ac:dyDescent="0.2">
      <c r="A134" s="205"/>
      <c r="B134" s="202"/>
      <c r="C134" s="206"/>
      <c r="D134" s="203"/>
      <c r="E134" s="206"/>
      <c r="F134" s="210"/>
      <c r="G134" s="325"/>
    </row>
    <row r="135" spans="1:7" ht="35.1" customHeight="1" x14ac:dyDescent="0.2">
      <c r="A135" s="205" t="s">
        <v>206</v>
      </c>
      <c r="B135" s="202" t="s">
        <v>189</v>
      </c>
      <c r="C135" s="206">
        <f>25*75</f>
        <v>1875</v>
      </c>
      <c r="D135" s="203"/>
      <c r="E135" s="207">
        <f>(F135*C135)*1.2</f>
        <v>0</v>
      </c>
      <c r="F135" s="229">
        <v>0</v>
      </c>
      <c r="G135" s="325" t="s">
        <v>202</v>
      </c>
    </row>
    <row r="136" spans="1:7" ht="20.100000000000001" customHeight="1" x14ac:dyDescent="0.2">
      <c r="A136" s="219"/>
      <c r="B136" s="217"/>
      <c r="C136" s="203"/>
      <c r="D136" s="203"/>
      <c r="E136" s="207"/>
      <c r="F136" s="220"/>
      <c r="G136" s="325"/>
    </row>
    <row r="137" spans="1:7" ht="35.1" customHeight="1" x14ac:dyDescent="0.2">
      <c r="A137" s="205" t="s">
        <v>207</v>
      </c>
      <c r="B137" s="202" t="s">
        <v>201</v>
      </c>
      <c r="C137" s="206">
        <f>25*75</f>
        <v>1875</v>
      </c>
      <c r="D137" s="203"/>
      <c r="E137" s="207">
        <f>(F137*C137)*1.2</f>
        <v>0</v>
      </c>
      <c r="F137" s="229">
        <v>0</v>
      </c>
      <c r="G137" s="325" t="s">
        <v>203</v>
      </c>
    </row>
    <row r="138" spans="1:7" ht="20.100000000000001" customHeight="1" x14ac:dyDescent="0.2">
      <c r="A138" s="205"/>
      <c r="B138" s="202"/>
      <c r="C138" s="206"/>
      <c r="D138" s="203"/>
      <c r="E138" s="206"/>
      <c r="F138" s="210"/>
      <c r="G138" s="325"/>
    </row>
    <row r="139" spans="1:7" ht="35.1" customHeight="1" x14ac:dyDescent="0.2">
      <c r="A139" s="205" t="s">
        <v>94</v>
      </c>
      <c r="B139" s="202" t="s">
        <v>64</v>
      </c>
      <c r="C139" s="206">
        <v>750</v>
      </c>
      <c r="D139" s="203"/>
      <c r="E139" s="207">
        <f>(F139*C139)*1.2</f>
        <v>0</v>
      </c>
      <c r="F139" s="227">
        <v>0</v>
      </c>
      <c r="G139" s="325"/>
    </row>
    <row r="140" spans="1:7" ht="20.100000000000001" customHeight="1" x14ac:dyDescent="0.2">
      <c r="A140" s="205"/>
      <c r="B140" s="202"/>
      <c r="C140" s="206"/>
      <c r="D140" s="203"/>
      <c r="E140" s="206"/>
      <c r="F140" s="210"/>
      <c r="G140" s="325"/>
    </row>
    <row r="141" spans="1:7" ht="35.1" customHeight="1" x14ac:dyDescent="0.2">
      <c r="A141" s="205" t="s">
        <v>95</v>
      </c>
      <c r="B141" s="202" t="s">
        <v>205</v>
      </c>
      <c r="C141" s="206">
        <v>50</v>
      </c>
      <c r="D141" s="203"/>
      <c r="E141" s="207">
        <f>(F141*C141)*1.2</f>
        <v>0</v>
      </c>
      <c r="F141" s="231">
        <f>F133</f>
        <v>0</v>
      </c>
      <c r="G141" s="327" t="s">
        <v>208</v>
      </c>
    </row>
    <row r="142" spans="1:7" ht="20.100000000000001" customHeight="1" x14ac:dyDescent="0.2">
      <c r="A142" s="205"/>
      <c r="B142" s="202"/>
      <c r="C142" s="206"/>
      <c r="D142" s="203"/>
      <c r="E142" s="206"/>
      <c r="F142" s="210"/>
      <c r="G142" s="325"/>
    </row>
    <row r="143" spans="1:7" ht="35.1" customHeight="1" x14ac:dyDescent="0.2">
      <c r="A143" s="205" t="s">
        <v>104</v>
      </c>
      <c r="B143" s="202" t="s">
        <v>56</v>
      </c>
      <c r="C143" s="206">
        <v>600</v>
      </c>
      <c r="D143" s="203"/>
      <c r="E143" s="207">
        <f>(F143*C143)*1.2</f>
        <v>0</v>
      </c>
      <c r="F143" s="227">
        <v>0</v>
      </c>
      <c r="G143" s="325"/>
    </row>
    <row r="144" spans="1:7" ht="20.100000000000001" customHeight="1" x14ac:dyDescent="0.2">
      <c r="A144" s="205"/>
      <c r="B144" s="202"/>
      <c r="C144" s="206"/>
      <c r="D144" s="203"/>
      <c r="E144" s="206"/>
      <c r="F144" s="210"/>
      <c r="G144" s="325"/>
    </row>
    <row r="145" spans="1:7" ht="35.1" customHeight="1" x14ac:dyDescent="0.2">
      <c r="A145" s="205" t="s">
        <v>97</v>
      </c>
      <c r="B145" s="202" t="s">
        <v>86</v>
      </c>
      <c r="C145" s="206">
        <v>150</v>
      </c>
      <c r="D145" s="203"/>
      <c r="E145" s="207">
        <f>(F145*C145)*1.2</f>
        <v>0</v>
      </c>
      <c r="F145" s="227">
        <v>0</v>
      </c>
      <c r="G145" s="325"/>
    </row>
    <row r="146" spans="1:7" ht="20.100000000000001" customHeight="1" x14ac:dyDescent="0.2">
      <c r="A146" s="211"/>
      <c r="B146" s="212"/>
      <c r="C146" s="206"/>
      <c r="D146" s="203"/>
      <c r="E146" s="206"/>
      <c r="F146" s="210"/>
      <c r="G146" s="325"/>
    </row>
    <row r="147" spans="1:7" ht="54.95" customHeight="1" x14ac:dyDescent="0.2">
      <c r="A147" s="235" t="s">
        <v>105</v>
      </c>
      <c r="B147" s="213"/>
      <c r="C147" s="213"/>
      <c r="D147" s="213"/>
      <c r="E147" s="228">
        <f>SUM(E87:E145)</f>
        <v>0</v>
      </c>
      <c r="F147" s="209"/>
      <c r="G147" s="325"/>
    </row>
    <row r="148" spans="1:7" ht="20.100000000000001" customHeight="1" x14ac:dyDescent="0.2">
      <c r="A148" s="211"/>
      <c r="B148" s="212"/>
      <c r="C148" s="206"/>
      <c r="D148" s="203"/>
      <c r="E148" s="206"/>
      <c r="F148" s="210"/>
      <c r="G148" s="325"/>
    </row>
    <row r="149" spans="1:7" ht="30" customHeight="1" x14ac:dyDescent="0.2">
      <c r="A149" s="215" t="s">
        <v>191</v>
      </c>
      <c r="B149" s="212"/>
      <c r="C149" s="206"/>
      <c r="D149" s="203"/>
      <c r="E149" s="206"/>
      <c r="F149" s="210"/>
      <c r="G149" s="325"/>
    </row>
    <row r="150" spans="1:7" ht="20.100000000000001" customHeight="1" x14ac:dyDescent="0.2">
      <c r="A150" s="211"/>
      <c r="B150" s="212"/>
      <c r="C150" s="206"/>
      <c r="D150" s="203"/>
      <c r="E150" s="206"/>
      <c r="F150" s="210"/>
      <c r="G150" s="325"/>
    </row>
    <row r="151" spans="1:7" ht="20.100000000000001" customHeight="1" x14ac:dyDescent="0.2">
      <c r="A151" s="204" t="s">
        <v>192</v>
      </c>
      <c r="B151" s="212"/>
      <c r="C151" s="206"/>
      <c r="D151" s="203"/>
      <c r="E151" s="206"/>
      <c r="F151" s="210"/>
      <c r="G151" s="325"/>
    </row>
    <row r="152" spans="1:7" ht="35.1" customHeight="1" x14ac:dyDescent="0.2">
      <c r="A152" s="205" t="s">
        <v>259</v>
      </c>
      <c r="B152" s="202" t="s">
        <v>49</v>
      </c>
      <c r="C152" s="206">
        <f>14*16</f>
        <v>224</v>
      </c>
      <c r="D152" s="203"/>
      <c r="E152" s="207">
        <f>(F152*C152)*1.2</f>
        <v>0</v>
      </c>
      <c r="F152" s="227">
        <v>0</v>
      </c>
      <c r="G152" s="325" t="s">
        <v>130</v>
      </c>
    </row>
    <row r="153" spans="1:7" ht="20.100000000000001" customHeight="1" x14ac:dyDescent="0.2">
      <c r="A153" s="211"/>
      <c r="B153" s="202"/>
      <c r="C153" s="206"/>
      <c r="D153" s="203"/>
      <c r="E153" s="206"/>
      <c r="F153" s="210"/>
      <c r="G153" s="325"/>
    </row>
    <row r="154" spans="1:7" ht="35.1" customHeight="1" x14ac:dyDescent="0.2">
      <c r="A154" s="205" t="s">
        <v>260</v>
      </c>
      <c r="B154" s="202" t="s">
        <v>129</v>
      </c>
      <c r="C154" s="206">
        <f>6*8</f>
        <v>48</v>
      </c>
      <c r="D154" s="203"/>
      <c r="E154" s="207">
        <f>(F154*C154)*1.2</f>
        <v>0</v>
      </c>
      <c r="F154" s="227">
        <v>0</v>
      </c>
      <c r="G154" s="325" t="s">
        <v>193</v>
      </c>
    </row>
    <row r="155" spans="1:7" ht="20.100000000000001" customHeight="1" x14ac:dyDescent="0.2">
      <c r="A155" s="211"/>
      <c r="B155" s="202"/>
      <c r="C155" s="206"/>
      <c r="D155" s="203"/>
      <c r="E155" s="206"/>
      <c r="F155" s="210"/>
      <c r="G155" s="325"/>
    </row>
    <row r="156" spans="1:7" ht="18" customHeight="1" x14ac:dyDescent="0.2">
      <c r="A156" s="204" t="s">
        <v>191</v>
      </c>
      <c r="B156" s="202"/>
      <c r="C156" s="206"/>
      <c r="D156" s="203"/>
      <c r="E156" s="206"/>
      <c r="F156" s="210"/>
      <c r="G156" s="325"/>
    </row>
    <row r="157" spans="1:7" ht="35.1" customHeight="1" x14ac:dyDescent="0.2">
      <c r="A157" s="205" t="s">
        <v>100</v>
      </c>
      <c r="B157" s="202" t="s">
        <v>264</v>
      </c>
      <c r="C157" s="206">
        <v>15</v>
      </c>
      <c r="D157" s="203"/>
      <c r="E157" s="207">
        <f>(F157*C157)*1.2</f>
        <v>0</v>
      </c>
      <c r="F157" s="231">
        <f>'Fleet Data Entry'!J8+'Fleet Data Entry'!J10+'Fleet Data Entry'!J12+'Fleet Data Entry'!J14+'Fleet Data Entry'!J18+'Fleet Data Entry'!J20</f>
        <v>0</v>
      </c>
      <c r="G157" s="325" t="s">
        <v>262</v>
      </c>
    </row>
    <row r="158" spans="1:7" ht="20.100000000000001" customHeight="1" x14ac:dyDescent="0.2">
      <c r="A158" s="211"/>
      <c r="B158" s="202"/>
      <c r="C158" s="206"/>
      <c r="D158" s="203"/>
      <c r="E158" s="206"/>
      <c r="F158" s="210"/>
      <c r="G158" s="325"/>
    </row>
    <row r="159" spans="1:7" ht="35.1" customHeight="1" x14ac:dyDescent="0.2">
      <c r="A159" s="205" t="s">
        <v>101</v>
      </c>
      <c r="B159" s="202" t="s">
        <v>261</v>
      </c>
      <c r="C159" s="206">
        <v>7.5</v>
      </c>
      <c r="D159" s="203"/>
      <c r="E159" s="207">
        <f>(F159*C159)*1.2</f>
        <v>0</v>
      </c>
      <c r="F159" s="231">
        <f>F157</f>
        <v>0</v>
      </c>
      <c r="G159" s="325" t="s">
        <v>263</v>
      </c>
    </row>
    <row r="160" spans="1:7" ht="20.100000000000001" customHeight="1" x14ac:dyDescent="0.2">
      <c r="A160" s="211"/>
      <c r="B160" s="202"/>
      <c r="C160" s="206"/>
      <c r="D160" s="203"/>
      <c r="E160" s="206"/>
      <c r="F160" s="210"/>
      <c r="G160" s="325"/>
    </row>
    <row r="161" spans="1:7" ht="35.1" customHeight="1" x14ac:dyDescent="0.2">
      <c r="A161" s="205" t="s">
        <v>102</v>
      </c>
      <c r="B161" s="202" t="s">
        <v>103</v>
      </c>
      <c r="C161" s="206">
        <f>16*20</f>
        <v>320</v>
      </c>
      <c r="D161" s="203"/>
      <c r="E161" s="207">
        <f>(F161*C161)*1.1</f>
        <v>0</v>
      </c>
      <c r="F161" s="227">
        <v>0</v>
      </c>
      <c r="G161" s="325" t="s">
        <v>130</v>
      </c>
    </row>
    <row r="162" spans="1:7" ht="20.100000000000001" customHeight="1" x14ac:dyDescent="0.2">
      <c r="A162" s="211"/>
      <c r="B162" s="212"/>
      <c r="C162" s="206"/>
      <c r="D162" s="203"/>
      <c r="E162" s="206"/>
      <c r="F162" s="210"/>
      <c r="G162" s="325"/>
    </row>
    <row r="163" spans="1:7" ht="54.95" customHeight="1" x14ac:dyDescent="0.2">
      <c r="A163" s="235" t="s">
        <v>218</v>
      </c>
      <c r="B163" s="213"/>
      <c r="C163" s="213"/>
      <c r="D163" s="213"/>
      <c r="E163" s="228">
        <f>SUM(E152:E161)</f>
        <v>0</v>
      </c>
      <c r="F163" s="209"/>
      <c r="G163" s="325"/>
    </row>
    <row r="164" spans="1:7" ht="20.100000000000001" customHeight="1" x14ac:dyDescent="0.2">
      <c r="A164" s="211"/>
      <c r="B164" s="212"/>
      <c r="C164" s="206"/>
      <c r="D164" s="203"/>
      <c r="E164" s="206"/>
      <c r="F164" s="210"/>
      <c r="G164" s="325"/>
    </row>
    <row r="165" spans="1:7" ht="30" customHeight="1" x14ac:dyDescent="0.2">
      <c r="A165" s="215" t="s">
        <v>251</v>
      </c>
      <c r="B165" s="212"/>
      <c r="C165" s="206"/>
      <c r="D165" s="203"/>
      <c r="E165" s="206"/>
      <c r="F165" s="304"/>
      <c r="G165" s="304"/>
    </row>
    <row r="166" spans="1:7" ht="20.100000000000001" customHeight="1" x14ac:dyDescent="0.2">
      <c r="A166" s="211"/>
      <c r="B166" s="212"/>
      <c r="C166" s="206"/>
      <c r="D166" s="203"/>
      <c r="E166" s="206"/>
      <c r="F166" s="210"/>
      <c r="G166" s="325"/>
    </row>
    <row r="167" spans="1:7" ht="78.75" customHeight="1" x14ac:dyDescent="0.2">
      <c r="A167" s="205" t="s">
        <v>281</v>
      </c>
      <c r="B167" s="217" t="s">
        <v>170</v>
      </c>
      <c r="C167" s="206">
        <f>(20*75)</f>
        <v>1500</v>
      </c>
      <c r="D167" s="207">
        <f>F167/75</f>
        <v>0</v>
      </c>
      <c r="E167" s="207">
        <f>((F167*C167)/75)*1.05</f>
        <v>0</v>
      </c>
      <c r="F167" s="231">
        <f>'Fleet Data Entry'!$J$8+'Fleet Data Entry'!$J$10+'Fleet Data Entry'!$J$12+'Fleet Data Entry'!$J$14+'Fleet Data Entry'!$J$16</f>
        <v>0</v>
      </c>
      <c r="G167" s="328" t="s">
        <v>178</v>
      </c>
    </row>
    <row r="168" spans="1:7" ht="20.100000000000001" customHeight="1" x14ac:dyDescent="0.2">
      <c r="A168" s="205"/>
      <c r="B168" s="221"/>
      <c r="C168" s="203"/>
      <c r="D168" s="203"/>
      <c r="E168" s="206"/>
      <c r="F168" s="210"/>
      <c r="G168" s="325"/>
    </row>
    <row r="169" spans="1:7" ht="60.75" customHeight="1" x14ac:dyDescent="0.2">
      <c r="A169" s="222" t="s">
        <v>282</v>
      </c>
      <c r="B169" s="217" t="s">
        <v>171</v>
      </c>
      <c r="C169" s="206">
        <f>(15*75)</f>
        <v>1125</v>
      </c>
      <c r="D169" s="223" t="s">
        <v>172</v>
      </c>
      <c r="E169" s="207">
        <f>(C169*F169)*1.05</f>
        <v>0</v>
      </c>
      <c r="F169" s="227">
        <v>0</v>
      </c>
      <c r="G169" s="325" t="s">
        <v>221</v>
      </c>
    </row>
    <row r="170" spans="1:7" ht="20.100000000000001" customHeight="1" x14ac:dyDescent="0.2">
      <c r="A170" s="205"/>
      <c r="B170" s="202"/>
      <c r="C170" s="206"/>
      <c r="D170" s="203"/>
      <c r="E170" s="206"/>
      <c r="F170" s="210"/>
      <c r="G170" s="325"/>
    </row>
    <row r="171" spans="1:7" ht="48" customHeight="1" x14ac:dyDescent="0.2">
      <c r="A171" s="205" t="s">
        <v>283</v>
      </c>
      <c r="B171" s="217" t="s">
        <v>173</v>
      </c>
      <c r="C171" s="206">
        <f>(15*25)</f>
        <v>375</v>
      </c>
      <c r="D171" s="223" t="s">
        <v>172</v>
      </c>
      <c r="E171" s="207">
        <f>(C171*F171)*1.05</f>
        <v>0</v>
      </c>
      <c r="F171" s="227">
        <v>0</v>
      </c>
      <c r="G171" s="325" t="s">
        <v>220</v>
      </c>
    </row>
    <row r="172" spans="1:7" ht="20.100000000000001" customHeight="1" x14ac:dyDescent="0.2">
      <c r="A172" s="205"/>
      <c r="B172" s="202"/>
      <c r="C172" s="206"/>
      <c r="D172" s="203"/>
      <c r="E172" s="206"/>
      <c r="F172" s="210"/>
      <c r="G172" s="325"/>
    </row>
    <row r="173" spans="1:7" ht="48" customHeight="1" x14ac:dyDescent="0.2">
      <c r="A173" s="205" t="s">
        <v>284</v>
      </c>
      <c r="B173" s="217" t="s">
        <v>174</v>
      </c>
      <c r="C173" s="206">
        <f>(20*95)</f>
        <v>1900</v>
      </c>
      <c r="D173" s="207">
        <f>F173/100</f>
        <v>0</v>
      </c>
      <c r="E173" s="207">
        <f>((F173*C173)/75)*1.05</f>
        <v>0</v>
      </c>
      <c r="F173" s="231">
        <f>'Fleet Data Entry'!$J$8+'Fleet Data Entry'!$J$10+'Fleet Data Entry'!$J$12+'Fleet Data Entry'!$J$14+'Fleet Data Entry'!$J$16</f>
        <v>0</v>
      </c>
      <c r="G173" s="328" t="s">
        <v>178</v>
      </c>
    </row>
    <row r="174" spans="1:7" ht="20.100000000000001" customHeight="1" x14ac:dyDescent="0.2">
      <c r="A174" s="205"/>
      <c r="B174" s="202"/>
      <c r="C174" s="206"/>
      <c r="D174" s="203"/>
      <c r="E174" s="206"/>
      <c r="F174" s="210"/>
      <c r="G174" s="325"/>
    </row>
    <row r="175" spans="1:7" ht="35.1" customHeight="1" x14ac:dyDescent="0.2">
      <c r="A175" s="205" t="s">
        <v>216</v>
      </c>
      <c r="B175" s="217" t="s">
        <v>175</v>
      </c>
      <c r="C175" s="206">
        <f>(15*50)</f>
        <v>750</v>
      </c>
      <c r="D175" s="223" t="s">
        <v>172</v>
      </c>
      <c r="E175" s="207">
        <f>(C175*F175)*1.05</f>
        <v>0</v>
      </c>
      <c r="F175" s="227">
        <v>0</v>
      </c>
      <c r="G175" s="325" t="s">
        <v>219</v>
      </c>
    </row>
    <row r="176" spans="1:7" ht="20.100000000000001" customHeight="1" x14ac:dyDescent="0.2">
      <c r="A176" s="224"/>
      <c r="B176" s="212"/>
      <c r="C176" s="206"/>
      <c r="D176" s="203"/>
      <c r="E176" s="206"/>
      <c r="F176" s="210"/>
      <c r="G176" s="325"/>
    </row>
    <row r="177" spans="1:7" ht="54.95" customHeight="1" x14ac:dyDescent="0.2">
      <c r="A177" s="235" t="s">
        <v>252</v>
      </c>
      <c r="B177" s="213"/>
      <c r="C177" s="213"/>
      <c r="D177" s="213"/>
      <c r="E177" s="228">
        <f>SUM(E167:E175)</f>
        <v>0</v>
      </c>
      <c r="F177" s="209"/>
      <c r="G177" s="325"/>
    </row>
    <row r="178" spans="1:7" ht="20.100000000000001" customHeight="1" thickBot="1" x14ac:dyDescent="0.25">
      <c r="A178" s="211"/>
      <c r="B178" s="212"/>
      <c r="C178" s="206"/>
      <c r="D178" s="203"/>
      <c r="E178" s="206"/>
      <c r="F178" s="210"/>
      <c r="G178" s="325"/>
    </row>
    <row r="179" spans="1:7" ht="44.25" customHeight="1" thickTop="1" thickBot="1" x14ac:dyDescent="0.25">
      <c r="A179" s="348" t="s">
        <v>109</v>
      </c>
      <c r="B179" s="311"/>
      <c r="C179" s="340"/>
      <c r="D179" s="313"/>
      <c r="E179" s="314"/>
      <c r="F179" s="315"/>
      <c r="G179" s="347"/>
    </row>
    <row r="180" spans="1:7" ht="106.5" customHeight="1" thickTop="1" thickBot="1" x14ac:dyDescent="0.25">
      <c r="A180" s="349" t="s">
        <v>99</v>
      </c>
      <c r="B180" s="349" t="s">
        <v>117</v>
      </c>
      <c r="C180" s="349" t="s">
        <v>116</v>
      </c>
      <c r="D180" s="350"/>
      <c r="E180" s="351" t="s">
        <v>295</v>
      </c>
      <c r="F180" s="351" t="s">
        <v>118</v>
      </c>
      <c r="G180" s="352"/>
    </row>
    <row r="181" spans="1:7" ht="30" customHeight="1" x14ac:dyDescent="0.2">
      <c r="A181" s="215" t="s">
        <v>169</v>
      </c>
      <c r="B181" s="212"/>
      <c r="C181" s="206"/>
      <c r="D181" s="203"/>
      <c r="E181" s="206"/>
      <c r="F181" s="210"/>
      <c r="G181" s="325"/>
    </row>
    <row r="182" spans="1:7" ht="20.100000000000001" customHeight="1" x14ac:dyDescent="0.2">
      <c r="A182" s="211"/>
      <c r="B182" s="212"/>
      <c r="C182" s="206"/>
      <c r="D182" s="203"/>
      <c r="E182" s="206"/>
      <c r="F182" s="210"/>
      <c r="G182" s="325"/>
    </row>
    <row r="183" spans="1:7" ht="39.75" customHeight="1" x14ac:dyDescent="0.2">
      <c r="A183" s="236" t="s">
        <v>222</v>
      </c>
      <c r="B183" s="212"/>
      <c r="C183" s="206"/>
      <c r="D183" s="203"/>
      <c r="E183" s="206"/>
      <c r="F183" s="210"/>
      <c r="G183" s="325"/>
    </row>
    <row r="184" spans="1:7" ht="65.099999999999994" customHeight="1" x14ac:dyDescent="0.2">
      <c r="A184" s="225" t="s">
        <v>285</v>
      </c>
      <c r="B184" s="206" t="s">
        <v>176</v>
      </c>
      <c r="C184" s="206">
        <f>(10*20)</f>
        <v>200</v>
      </c>
      <c r="D184" s="223"/>
      <c r="E184" s="207">
        <f>(F184*C184)*2</f>
        <v>0</v>
      </c>
      <c r="F184" s="231">
        <f>'Fleet Data Entry'!J18</f>
        <v>0</v>
      </c>
      <c r="G184" s="328" t="s">
        <v>178</v>
      </c>
    </row>
    <row r="185" spans="1:7" ht="20.100000000000001" customHeight="1" x14ac:dyDescent="0.2">
      <c r="A185" s="205"/>
      <c r="B185" s="212"/>
      <c r="C185" s="206"/>
      <c r="D185" s="203"/>
      <c r="E185" s="206"/>
      <c r="F185" s="210"/>
      <c r="G185" s="327"/>
    </row>
    <row r="186" spans="1:7" ht="65.099999999999994" customHeight="1" x14ac:dyDescent="0.2">
      <c r="A186" s="225" t="s">
        <v>286</v>
      </c>
      <c r="B186" s="206" t="s">
        <v>48</v>
      </c>
      <c r="C186" s="206">
        <f>(9*18)</f>
        <v>162</v>
      </c>
      <c r="D186" s="223"/>
      <c r="E186" s="207">
        <f>(F186*C186)*2</f>
        <v>0</v>
      </c>
      <c r="F186" s="231">
        <f>'Fleet Data Entry'!J20</f>
        <v>0</v>
      </c>
      <c r="G186" s="328" t="s">
        <v>178</v>
      </c>
    </row>
    <row r="187" spans="1:7" ht="20.100000000000001" customHeight="1" x14ac:dyDescent="0.2">
      <c r="A187" s="205"/>
      <c r="B187" s="212"/>
      <c r="C187" s="206"/>
      <c r="D187" s="203"/>
      <c r="E187" s="206"/>
      <c r="F187" s="210"/>
      <c r="G187" s="327"/>
    </row>
    <row r="188" spans="1:7" ht="65.099999999999994" customHeight="1" x14ac:dyDescent="0.2">
      <c r="A188" s="225" t="s">
        <v>217</v>
      </c>
      <c r="B188" s="206" t="s">
        <v>177</v>
      </c>
      <c r="C188" s="206">
        <f>(13*18)</f>
        <v>234</v>
      </c>
      <c r="D188" s="223"/>
      <c r="E188" s="207">
        <f>(F188*C188)*2</f>
        <v>0</v>
      </c>
      <c r="F188" s="231">
        <f>F186/40</f>
        <v>0</v>
      </c>
      <c r="G188" s="328" t="s">
        <v>224</v>
      </c>
    </row>
    <row r="189" spans="1:7" ht="20.100000000000001" customHeight="1" x14ac:dyDescent="0.2">
      <c r="A189" s="211"/>
      <c r="B189" s="212"/>
      <c r="C189" s="206"/>
      <c r="D189" s="203"/>
      <c r="E189" s="206"/>
      <c r="F189" s="210"/>
      <c r="G189" s="325"/>
    </row>
    <row r="190" spans="1:7" ht="54.95" customHeight="1" x14ac:dyDescent="0.2">
      <c r="A190" s="235" t="s">
        <v>223</v>
      </c>
      <c r="B190" s="213"/>
      <c r="C190" s="213"/>
      <c r="D190" s="213"/>
      <c r="E190" s="228">
        <f>SUM(E184:E188)</f>
        <v>0</v>
      </c>
      <c r="F190" s="209"/>
      <c r="G190" s="325"/>
    </row>
    <row r="191" spans="1:7" ht="20.100000000000001" customHeight="1" x14ac:dyDescent="0.2">
      <c r="A191" s="211"/>
      <c r="B191" s="212"/>
      <c r="C191" s="206"/>
      <c r="D191" s="203"/>
      <c r="E191" s="206"/>
      <c r="F191" s="210"/>
      <c r="G191" s="325"/>
    </row>
    <row r="192" spans="1:7" ht="30" customHeight="1" x14ac:dyDescent="0.2">
      <c r="A192" s="215" t="s">
        <v>110</v>
      </c>
      <c r="B192" s="212"/>
      <c r="C192" s="206"/>
      <c r="D192" s="203"/>
      <c r="E192" s="206"/>
      <c r="F192" s="210"/>
      <c r="G192" s="325"/>
    </row>
    <row r="193" spans="1:7" ht="20.100000000000001" customHeight="1" x14ac:dyDescent="0.2">
      <c r="A193" s="211"/>
      <c r="B193" s="212"/>
      <c r="C193" s="206"/>
      <c r="D193" s="203"/>
      <c r="E193" s="206"/>
      <c r="F193" s="210"/>
      <c r="G193" s="325"/>
    </row>
    <row r="194" spans="1:7" ht="48" customHeight="1" x14ac:dyDescent="0.2">
      <c r="A194" s="205" t="s">
        <v>179</v>
      </c>
      <c r="B194" s="206" t="s">
        <v>107</v>
      </c>
      <c r="C194" s="206">
        <f>(20*25)*2</f>
        <v>1000</v>
      </c>
      <c r="D194" s="206"/>
      <c r="E194" s="207">
        <f>(F194*C194)*1.5</f>
        <v>0</v>
      </c>
      <c r="F194" s="227">
        <v>0</v>
      </c>
      <c r="G194" s="329" t="s">
        <v>226</v>
      </c>
    </row>
    <row r="195" spans="1:7" ht="20.100000000000001" customHeight="1" x14ac:dyDescent="0.2">
      <c r="A195" s="205"/>
      <c r="B195" s="203"/>
      <c r="C195" s="203"/>
      <c r="D195" s="203"/>
      <c r="E195" s="206"/>
      <c r="F195" s="210"/>
      <c r="G195" s="325"/>
    </row>
    <row r="196" spans="1:7" ht="48" customHeight="1" x14ac:dyDescent="0.2">
      <c r="A196" s="205" t="s">
        <v>227</v>
      </c>
      <c r="B196" s="206" t="s">
        <v>180</v>
      </c>
      <c r="C196" s="206">
        <f>(6*10)</f>
        <v>60</v>
      </c>
      <c r="D196" s="206"/>
      <c r="E196" s="207">
        <f>(F196*C196)*1.5</f>
        <v>0</v>
      </c>
      <c r="F196" s="227">
        <v>0</v>
      </c>
      <c r="G196" s="329" t="s">
        <v>287</v>
      </c>
    </row>
    <row r="197" spans="1:7" ht="20.100000000000001" customHeight="1" x14ac:dyDescent="0.2">
      <c r="A197" s="205"/>
      <c r="B197" s="212"/>
      <c r="C197" s="206"/>
      <c r="D197" s="203"/>
      <c r="E197" s="206"/>
      <c r="F197" s="210"/>
      <c r="G197" s="325"/>
    </row>
    <row r="198" spans="1:7" ht="49.5" customHeight="1" x14ac:dyDescent="0.2">
      <c r="A198" s="205" t="s">
        <v>209</v>
      </c>
      <c r="B198" s="206" t="s">
        <v>176</v>
      </c>
      <c r="C198" s="206">
        <f>(10*20)</f>
        <v>200</v>
      </c>
      <c r="D198" s="206"/>
      <c r="E198" s="207">
        <f>(F198*C198)*1.5</f>
        <v>0</v>
      </c>
      <c r="F198" s="227">
        <v>0</v>
      </c>
      <c r="G198" s="329" t="s">
        <v>288</v>
      </c>
    </row>
    <row r="199" spans="1:7" ht="20.100000000000001" customHeight="1" x14ac:dyDescent="0.2">
      <c r="A199" s="205"/>
      <c r="B199" s="212"/>
      <c r="C199" s="206"/>
      <c r="D199" s="203"/>
      <c r="E199" s="206"/>
      <c r="F199" s="210"/>
      <c r="G199" s="325"/>
    </row>
    <row r="200" spans="1:7" ht="55.5" customHeight="1" x14ac:dyDescent="0.2">
      <c r="A200" s="205" t="s">
        <v>111</v>
      </c>
      <c r="B200" s="206" t="s">
        <v>112</v>
      </c>
      <c r="C200" s="206">
        <f>(10*35)*1.5</f>
        <v>525</v>
      </c>
      <c r="D200" s="206"/>
      <c r="E200" s="207">
        <f>(F200*C200)*1.5</f>
        <v>0</v>
      </c>
      <c r="F200" s="227">
        <v>0</v>
      </c>
      <c r="G200" s="329" t="s">
        <v>181</v>
      </c>
    </row>
    <row r="201" spans="1:7" ht="20.100000000000001" customHeight="1" x14ac:dyDescent="0.2">
      <c r="A201" s="211"/>
      <c r="B201" s="212"/>
      <c r="C201" s="206"/>
      <c r="D201" s="203"/>
      <c r="E201" s="206"/>
      <c r="F201" s="210"/>
      <c r="G201" s="325"/>
    </row>
    <row r="202" spans="1:7" ht="54.95" customHeight="1" x14ac:dyDescent="0.2">
      <c r="A202" s="235" t="s">
        <v>225</v>
      </c>
      <c r="B202" s="213"/>
      <c r="C202" s="213"/>
      <c r="D202" s="213"/>
      <c r="E202" s="228">
        <f>SUM(E194:E200)</f>
        <v>0</v>
      </c>
      <c r="F202" s="209"/>
      <c r="G202" s="325"/>
    </row>
    <row r="203" spans="1:7" ht="20.100000000000001" customHeight="1" x14ac:dyDescent="0.2">
      <c r="A203" s="211"/>
      <c r="B203" s="212"/>
      <c r="C203" s="206"/>
      <c r="D203" s="203"/>
      <c r="E203" s="206"/>
      <c r="F203" s="210"/>
      <c r="G203" s="325"/>
    </row>
    <row r="204" spans="1:7" ht="30" customHeight="1" x14ac:dyDescent="0.2">
      <c r="A204" s="215" t="s">
        <v>113</v>
      </c>
      <c r="B204" s="212"/>
      <c r="C204" s="206"/>
      <c r="D204" s="203"/>
      <c r="E204" s="206"/>
      <c r="F204" s="210"/>
      <c r="G204" s="325"/>
    </row>
    <row r="205" spans="1:7" ht="20.100000000000001" customHeight="1" x14ac:dyDescent="0.2">
      <c r="A205" s="211"/>
      <c r="B205" s="212"/>
      <c r="C205" s="206"/>
      <c r="D205" s="203"/>
      <c r="E205" s="206"/>
      <c r="F205" s="210"/>
      <c r="G205" s="325"/>
    </row>
    <row r="206" spans="1:7" ht="48" customHeight="1" x14ac:dyDescent="0.2">
      <c r="A206" s="226" t="s">
        <v>114</v>
      </c>
      <c r="B206" s="206" t="s">
        <v>115</v>
      </c>
      <c r="C206" s="206">
        <f>(150*150)</f>
        <v>22500</v>
      </c>
      <c r="D206" s="206"/>
      <c r="E206" s="207">
        <f>(F206*C206)</f>
        <v>0</v>
      </c>
      <c r="F206" s="227">
        <v>0</v>
      </c>
      <c r="G206" s="325" t="s">
        <v>139</v>
      </c>
    </row>
    <row r="207" spans="1:7" ht="20.100000000000001" customHeight="1" x14ac:dyDescent="0.2">
      <c r="A207" s="211"/>
      <c r="B207" s="212"/>
      <c r="C207" s="206"/>
      <c r="D207" s="203"/>
      <c r="E207" s="206"/>
      <c r="F207" s="216"/>
      <c r="G207" s="325"/>
    </row>
    <row r="208" spans="1:7" ht="54.95" customHeight="1" x14ac:dyDescent="0.2">
      <c r="A208" s="235" t="s">
        <v>228</v>
      </c>
      <c r="B208" s="237"/>
      <c r="C208" s="237"/>
      <c r="D208" s="213"/>
      <c r="E208" s="228">
        <f>SUM(E206:E206)</f>
        <v>0</v>
      </c>
      <c r="F208" s="203"/>
      <c r="G208" s="325"/>
    </row>
    <row r="209" spans="1:7" ht="20.100000000000001" customHeight="1" x14ac:dyDescent="0.2">
      <c r="A209" s="238"/>
      <c r="B209" s="239"/>
      <c r="C209" s="240"/>
      <c r="D209" s="203"/>
      <c r="E209" s="206"/>
      <c r="F209" s="216"/>
      <c r="G209" s="325"/>
    </row>
    <row r="210" spans="1:7" ht="20.100000000000001" customHeight="1" x14ac:dyDescent="0.2">
      <c r="A210" s="238"/>
      <c r="B210" s="239"/>
      <c r="C210" s="240"/>
      <c r="D210" s="203"/>
      <c r="E210" s="206"/>
      <c r="F210" s="216"/>
      <c r="G210" s="325"/>
    </row>
    <row r="211" spans="1:7" ht="20.100000000000001" customHeight="1" x14ac:dyDescent="0.2">
      <c r="A211" s="241"/>
      <c r="B211" s="237"/>
      <c r="C211" s="237"/>
      <c r="D211" s="203"/>
      <c r="E211" s="203"/>
      <c r="F211" s="203"/>
      <c r="G211" s="325"/>
    </row>
    <row r="212" spans="1:7" ht="54.95" customHeight="1" x14ac:dyDescent="0.2">
      <c r="A212" s="302" t="s">
        <v>119</v>
      </c>
      <c r="B212" s="303"/>
      <c r="C212" s="303"/>
      <c r="D212" s="213"/>
      <c r="E212" s="228">
        <f>SUM(E208,E202,E190,E177,E163,E147,E82,E47)</f>
        <v>0</v>
      </c>
      <c r="F212" s="203"/>
      <c r="G212" s="325"/>
    </row>
    <row r="213" spans="1:7" ht="44.25" x14ac:dyDescent="0.2">
      <c r="A213" s="211"/>
      <c r="B213" s="212"/>
      <c r="C213" s="206"/>
      <c r="D213" s="203"/>
      <c r="E213" s="206"/>
      <c r="F213" s="216"/>
      <c r="G213" s="325"/>
    </row>
  </sheetData>
  <mergeCells count="2">
    <mergeCell ref="A212:C212"/>
    <mergeCell ref="F165:G165"/>
  </mergeCells>
  <pageMargins left="0.7" right="0.7" top="0.75" bottom="0.75" header="0.3" footer="0.3"/>
  <pageSetup scale="35" fitToHeight="0" orientation="portrait" r:id="rId1"/>
  <headerFooter>
    <oddFooter>&amp;L&amp;A&amp;RPage &amp;P</oddFooter>
  </headerFooter>
  <rowBreaks count="6" manualBreakCount="6">
    <brk id="48" max="16383" man="1"/>
    <brk id="83" max="16383" man="1"/>
    <brk id="137" max="16383" man="1"/>
    <brk id="148" max="16383" man="1"/>
    <brk id="178" max="16383" man="1"/>
    <brk id="203" max="16383" man="1"/>
  </rowBreaks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53" zoomScaleNormal="53" workbookViewId="0">
      <selection activeCell="J11" sqref="J11"/>
    </sheetView>
  </sheetViews>
  <sheetFormatPr defaultRowHeight="14.25" x14ac:dyDescent="0.2"/>
  <cols>
    <col min="1" max="1" width="85.25" customWidth="1"/>
    <col min="2" max="2" width="2.875" customWidth="1"/>
    <col min="3" max="3" width="25.125" customWidth="1"/>
    <col min="4" max="4" width="21.625" customWidth="1"/>
    <col min="5" max="5" width="19.625" customWidth="1"/>
    <col min="6" max="6" width="35.625" customWidth="1"/>
    <col min="7" max="7" width="40.625" customWidth="1"/>
  </cols>
  <sheetData>
    <row r="1" spans="1:15" s="22" customFormat="1" ht="60" customHeight="1" thickBot="1" x14ac:dyDescent="0.65">
      <c r="A1" s="319" t="s">
        <v>215</v>
      </c>
      <c r="B1" s="190"/>
      <c r="C1" s="190"/>
      <c r="D1" s="190"/>
      <c r="E1" s="191"/>
      <c r="F1" s="254" t="s">
        <v>120</v>
      </c>
      <c r="G1" s="192"/>
      <c r="H1" s="15"/>
      <c r="I1" s="20"/>
      <c r="J1" s="20"/>
      <c r="M1" s="24"/>
      <c r="N1" s="25"/>
      <c r="O1" s="26"/>
    </row>
    <row r="2" spans="1:15" s="22" customFormat="1" ht="21" thickTop="1" x14ac:dyDescent="0.2">
      <c r="A2" s="321" t="s">
        <v>167</v>
      </c>
      <c r="B2" s="193"/>
      <c r="C2" s="193"/>
      <c r="D2" s="193"/>
      <c r="E2" s="194"/>
      <c r="F2" s="193"/>
      <c r="G2" s="242"/>
      <c r="H2" s="20"/>
    </row>
    <row r="3" spans="1:15" s="22" customFormat="1" ht="21" thickBot="1" x14ac:dyDescent="0.25">
      <c r="A3" s="256"/>
      <c r="B3" s="193"/>
      <c r="C3" s="193"/>
      <c r="D3" s="193"/>
      <c r="E3" s="194"/>
      <c r="F3" s="193"/>
      <c r="G3" s="242"/>
      <c r="H3" s="20"/>
    </row>
    <row r="4" spans="1:15" s="22" customFormat="1" ht="63" customHeight="1" thickBot="1" x14ac:dyDescent="0.25">
      <c r="A4" s="257" t="s">
        <v>231</v>
      </c>
      <c r="B4" s="193"/>
      <c r="C4" s="193"/>
      <c r="D4" s="193"/>
      <c r="E4" s="194"/>
      <c r="F4" s="193"/>
      <c r="G4" s="193"/>
      <c r="H4" s="20"/>
    </row>
    <row r="5" spans="1:15" s="22" customFormat="1" ht="50.1" customHeight="1" thickBot="1" x14ac:dyDescent="0.25">
      <c r="A5" s="258" t="s">
        <v>237</v>
      </c>
      <c r="B5" s="193"/>
      <c r="C5" s="193"/>
      <c r="D5" s="193"/>
      <c r="E5" s="194"/>
      <c r="F5" s="193"/>
      <c r="G5" s="193"/>
      <c r="H5" s="20"/>
    </row>
    <row r="6" spans="1:15" s="22" customFormat="1" ht="30.75" thickBot="1" x14ac:dyDescent="0.25">
      <c r="A6" s="257" t="s">
        <v>232</v>
      </c>
      <c r="B6" s="193"/>
      <c r="C6" s="193"/>
      <c r="D6" s="193"/>
      <c r="E6" s="194"/>
      <c r="F6" s="193"/>
      <c r="G6" s="243"/>
      <c r="H6" s="20"/>
    </row>
    <row r="7" spans="1:15" s="22" customFormat="1" ht="50.1" customHeight="1" x14ac:dyDescent="0.2">
      <c r="A7" s="255" t="s">
        <v>235</v>
      </c>
      <c r="B7" s="193"/>
      <c r="C7" s="193"/>
      <c r="D7" s="193"/>
      <c r="E7" s="194"/>
      <c r="F7" s="193"/>
      <c r="G7" s="243"/>
      <c r="H7" s="20"/>
    </row>
    <row r="8" spans="1:15" ht="15" thickBot="1" x14ac:dyDescent="0.25">
      <c r="A8" s="244"/>
      <c r="B8" s="244"/>
      <c r="C8" s="244"/>
      <c r="D8" s="244"/>
      <c r="E8" s="244"/>
      <c r="F8" s="244"/>
      <c r="G8" s="244"/>
    </row>
    <row r="9" spans="1:15" s="7" customFormat="1" ht="66" customHeight="1" thickTop="1" thickBot="1" x14ac:dyDescent="0.35">
      <c r="A9" s="344" t="s">
        <v>239</v>
      </c>
      <c r="B9" s="309"/>
      <c r="C9" s="310"/>
      <c r="D9" s="311"/>
      <c r="E9" s="309"/>
      <c r="F9" s="309"/>
      <c r="G9" s="312"/>
    </row>
    <row r="10" spans="1:15" s="38" customFormat="1" ht="57" customHeight="1" thickTop="1" thickBot="1" x14ac:dyDescent="0.25">
      <c r="A10" s="259" t="str">
        <f>$A$5</f>
        <v>Double Deep Drive Thru</v>
      </c>
      <c r="B10" s="199"/>
      <c r="C10" s="200"/>
      <c r="D10" s="198"/>
      <c r="E10" s="199"/>
      <c r="F10" s="261" t="str">
        <f>$A$7</f>
        <v>Exterior</v>
      </c>
      <c r="G10" s="199"/>
    </row>
    <row r="11" spans="1:15" s="7" customFormat="1" ht="73.5" thickTop="1" thickBot="1" x14ac:dyDescent="0.35">
      <c r="A11" s="245" t="s">
        <v>99</v>
      </c>
      <c r="B11" s="246"/>
      <c r="C11" s="247" t="s">
        <v>168</v>
      </c>
      <c r="D11" s="246" t="s">
        <v>117</v>
      </c>
      <c r="E11" s="246" t="s">
        <v>116</v>
      </c>
      <c r="F11" s="262" t="s">
        <v>249</v>
      </c>
      <c r="G11" s="248"/>
    </row>
    <row r="12" spans="1:15" s="7" customFormat="1" ht="21" hidden="1" thickTop="1" x14ac:dyDescent="0.3">
      <c r="A12" s="249"/>
      <c r="B12" s="230"/>
      <c r="C12" s="180"/>
      <c r="D12" s="230"/>
      <c r="E12" s="230"/>
      <c r="F12" s="263">
        <f>IF(AND($A$5='List Data'!$B$1,'Bus Parking Scenarios'!$A$7='List Data'!$A$2),'List Data'!$B$2,IF(AND($A$5='List Data'!$B$1,'Bus Parking Scenarios'!$A$7='List Data'!$A$3),'List Data'!$B$3,IF(AND($A$5='List Data'!$B$1,'Bus Parking Scenarios'!$A$7='List Data'!$A$4),'List Data'!$B$4,IF(AND($A$5='List Data'!$C$1,'Bus Parking Scenarios'!$A$7='List Data'!$A$2),'List Data'!$C$2,IF(AND($A$5='List Data'!$C$1,'Bus Parking Scenarios'!$A$7='List Data'!$A$3),'List Data'!$C$3,IF(AND('Bus Parking Scenarios'!$A$5='List Data'!$C$1,'Bus Parking Scenarios'!$A$7='List Data'!$A$4),'List Data'!$C$4,IF(AND($A$5='List Data'!$D$1,'Bus Parking Scenarios'!$A$7='List Data'!$A$2),'List Data'!$D$2,IF(AND('Bus Parking Scenarios'!$A$5='List Data'!$D$1,'Bus Parking Scenarios'!$A$7='List Data'!$A$3),'List Data'!$D$3,IF(AND('Bus Parking Scenarios'!$A$5='List Data'!$D$1,'Bus Parking Scenarios'!$A$7='List Data'!$A$4),'List Data'!$D$4,"0%")))))))))</f>
        <v>2</v>
      </c>
      <c r="G12" s="250"/>
    </row>
    <row r="13" spans="1:15" s="7" customFormat="1" ht="12" customHeight="1" thickTop="1" x14ac:dyDescent="0.3">
      <c r="A13" s="249"/>
      <c r="B13" s="230"/>
      <c r="C13" s="230"/>
      <c r="D13" s="230"/>
      <c r="E13" s="230"/>
      <c r="F13" s="264"/>
      <c r="G13" s="250"/>
    </row>
    <row r="14" spans="1:15" s="7" customFormat="1" ht="65.099999999999994" customHeight="1" x14ac:dyDescent="0.3">
      <c r="A14" s="174" t="s">
        <v>244</v>
      </c>
      <c r="B14" s="173"/>
      <c r="C14" s="231">
        <f>'Fleet Data Entry'!$J8</f>
        <v>0</v>
      </c>
      <c r="D14" s="176" t="s">
        <v>147</v>
      </c>
      <c r="E14" s="206">
        <f>(12*65)</f>
        <v>780</v>
      </c>
      <c r="F14" s="265">
        <f>C14*E14*$F$12</f>
        <v>0</v>
      </c>
      <c r="G14" s="267" t="s">
        <v>131</v>
      </c>
    </row>
    <row r="15" spans="1:15" s="7" customFormat="1" ht="20.100000000000001" customHeight="1" x14ac:dyDescent="0.3">
      <c r="A15" s="211"/>
      <c r="B15" s="173"/>
      <c r="C15" s="210"/>
      <c r="D15" s="173"/>
      <c r="E15" s="173"/>
      <c r="F15" s="266"/>
      <c r="G15" s="268"/>
    </row>
    <row r="16" spans="1:15" s="7" customFormat="1" ht="71.25" customHeight="1" x14ac:dyDescent="0.3">
      <c r="A16" s="174" t="s">
        <v>245</v>
      </c>
      <c r="B16" s="173"/>
      <c r="C16" s="231">
        <f>'Fleet Data Entry'!$J10</f>
        <v>0</v>
      </c>
      <c r="D16" s="176" t="s">
        <v>150</v>
      </c>
      <c r="E16" s="206">
        <f>(12*50)</f>
        <v>600</v>
      </c>
      <c r="F16" s="265">
        <f>C16*E16*$F$12</f>
        <v>0</v>
      </c>
      <c r="G16" s="267" t="s">
        <v>131</v>
      </c>
    </row>
    <row r="17" spans="1:7" s="7" customFormat="1" ht="20.100000000000001" customHeight="1" x14ac:dyDescent="0.3">
      <c r="A17" s="174"/>
      <c r="B17" s="173"/>
      <c r="C17" s="210"/>
      <c r="D17" s="173"/>
      <c r="E17" s="173"/>
      <c r="F17" s="266"/>
      <c r="G17" s="268"/>
    </row>
    <row r="18" spans="1:7" s="7" customFormat="1" ht="65.099999999999994" customHeight="1" x14ac:dyDescent="0.3">
      <c r="A18" s="174" t="s">
        <v>246</v>
      </c>
      <c r="B18" s="173"/>
      <c r="C18" s="231">
        <f>'Fleet Data Entry'!$J12</f>
        <v>0</v>
      </c>
      <c r="D18" s="206" t="s">
        <v>47</v>
      </c>
      <c r="E18" s="206">
        <f>(12*45)</f>
        <v>540</v>
      </c>
      <c r="F18" s="265">
        <f>C18*E18*$F$12</f>
        <v>0</v>
      </c>
      <c r="G18" s="267" t="s">
        <v>131</v>
      </c>
    </row>
    <row r="19" spans="1:7" s="7" customFormat="1" ht="20.100000000000001" customHeight="1" x14ac:dyDescent="0.3">
      <c r="A19" s="174"/>
      <c r="B19" s="173"/>
      <c r="C19" s="210"/>
      <c r="D19" s="173"/>
      <c r="E19" s="173"/>
      <c r="F19" s="266"/>
      <c r="G19" s="268"/>
    </row>
    <row r="20" spans="1:7" s="7" customFormat="1" ht="65.099999999999994" customHeight="1" x14ac:dyDescent="0.3">
      <c r="A20" s="174" t="s">
        <v>247</v>
      </c>
      <c r="B20" s="173"/>
      <c r="C20" s="231">
        <f>'Fleet Data Entry'!$J14</f>
        <v>0</v>
      </c>
      <c r="D20" s="206" t="s">
        <v>155</v>
      </c>
      <c r="E20" s="206">
        <f>(12*40)</f>
        <v>480</v>
      </c>
      <c r="F20" s="265">
        <f>C20*E20*$F$12</f>
        <v>0</v>
      </c>
      <c r="G20" s="267" t="s">
        <v>131</v>
      </c>
    </row>
    <row r="21" spans="1:7" s="7" customFormat="1" ht="20.100000000000001" customHeight="1" x14ac:dyDescent="0.3">
      <c r="A21" s="174"/>
      <c r="B21" s="173"/>
      <c r="C21" s="210"/>
      <c r="D21" s="173"/>
      <c r="E21" s="173"/>
      <c r="F21" s="266"/>
      <c r="G21" s="268"/>
    </row>
    <row r="22" spans="1:7" s="7" customFormat="1" ht="65.099999999999994" customHeight="1" x14ac:dyDescent="0.3">
      <c r="A22" s="174" t="s">
        <v>248</v>
      </c>
      <c r="B22" s="173"/>
      <c r="C22" s="231">
        <f>'Fleet Data Entry'!$J16</f>
        <v>0</v>
      </c>
      <c r="D22" s="206" t="s">
        <v>44</v>
      </c>
      <c r="E22" s="206">
        <f>(12*35)</f>
        <v>420</v>
      </c>
      <c r="F22" s="265">
        <f>C22*E22*$F$12</f>
        <v>0</v>
      </c>
      <c r="G22" s="267" t="s">
        <v>131</v>
      </c>
    </row>
    <row r="23" spans="1:7" s="7" customFormat="1" ht="19.5" customHeight="1" x14ac:dyDescent="0.3">
      <c r="A23" s="211"/>
      <c r="B23" s="173"/>
      <c r="C23" s="210"/>
      <c r="D23" s="212"/>
      <c r="E23" s="173"/>
      <c r="F23" s="251"/>
      <c r="G23" s="173"/>
    </row>
    <row r="24" spans="1:7" s="7" customFormat="1" ht="50.1" customHeight="1" x14ac:dyDescent="0.3">
      <c r="A24" s="235" t="s">
        <v>243</v>
      </c>
      <c r="B24" s="252"/>
      <c r="C24" s="253"/>
      <c r="D24" s="252"/>
      <c r="E24" s="252"/>
      <c r="F24" s="260">
        <f>SUM(F14:F22)</f>
        <v>0</v>
      </c>
      <c r="G24" s="252"/>
    </row>
    <row r="25" spans="1:7" s="7" customFormat="1" ht="20.100000000000001" customHeight="1" x14ac:dyDescent="0.3">
      <c r="A25" s="211"/>
      <c r="B25" s="173"/>
      <c r="C25" s="210"/>
      <c r="D25" s="212"/>
      <c r="E25" s="173"/>
      <c r="F25" s="173"/>
      <c r="G25" s="173"/>
    </row>
    <row r="26" spans="1:7" x14ac:dyDescent="0.2">
      <c r="A26" s="244"/>
      <c r="B26" s="244"/>
      <c r="C26" s="244"/>
      <c r="D26" s="244"/>
      <c r="E26" s="244"/>
      <c r="F26" s="244"/>
      <c r="G26" s="244"/>
    </row>
  </sheetData>
  <dataValidations count="1">
    <dataValidation allowBlank="1" showInputMessage="1" showErrorMessage="1" prompt="Choose a Bus Parking Location" sqref="G6:G7"/>
  </dataValidations>
  <pageMargins left="0.7" right="0.7" top="0.75" bottom="0.75" header="0.3" footer="0.3"/>
  <pageSetup scale="39" orientation="portrait" r:id="rId1"/>
  <headerFooter>
    <oddFooter>&amp;L&amp;A&amp;RPage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Choose a Bus Parking Approach">
          <x14:formula1>
            <xm:f>'List Data'!$A$7:$A$9</xm:f>
          </x14:formula1>
          <xm:sqref>A5</xm:sqref>
        </x14:dataValidation>
        <x14:dataValidation type="list" allowBlank="1" showInputMessage="1" showErrorMessage="1" prompt="Choose a Bus Parking Location">
          <x14:formula1>
            <xm:f>'List Data'!$A$2:$A$4</xm:f>
          </x14:formula1>
          <xm:sqref>A7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view="pageBreakPreview" zoomScale="64" zoomScaleNormal="70" zoomScaleSheetLayoutView="64" workbookViewId="0">
      <selection activeCell="K23" sqref="K23"/>
    </sheetView>
  </sheetViews>
  <sheetFormatPr defaultColWidth="9" defaultRowHeight="16.5" x14ac:dyDescent="0.3"/>
  <cols>
    <col min="1" max="1" width="3.375" style="7" customWidth="1"/>
    <col min="2" max="2" width="97.625" style="7" customWidth="1"/>
    <col min="3" max="5" width="3.625" style="7" customWidth="1"/>
    <col min="6" max="6" width="24.625" style="8" customWidth="1"/>
    <col min="7" max="7" width="6.875" style="7" customWidth="1"/>
    <col min="8" max="16384" width="9" style="7"/>
  </cols>
  <sheetData>
    <row r="1" spans="1:15" s="4" customFormat="1" ht="60" customHeight="1" x14ac:dyDescent="0.8">
      <c r="A1" s="320" t="s">
        <v>256</v>
      </c>
      <c r="B1" s="287"/>
      <c r="C1" s="287"/>
      <c r="D1" s="287"/>
      <c r="E1" s="287"/>
      <c r="F1" s="288"/>
      <c r="G1" s="289"/>
      <c r="H1" s="11"/>
      <c r="I1" s="11"/>
      <c r="J1" s="11"/>
      <c r="K1" s="11"/>
      <c r="L1" s="11"/>
      <c r="M1" s="12"/>
      <c r="N1" s="13"/>
      <c r="O1" s="3"/>
    </row>
    <row r="2" spans="1:15" s="4" customFormat="1" ht="30" customHeight="1" x14ac:dyDescent="0.3">
      <c r="A2" s="322" t="s">
        <v>167</v>
      </c>
      <c r="B2" s="290"/>
      <c r="C2" s="290"/>
      <c r="D2" s="287"/>
      <c r="E2" s="290"/>
      <c r="F2" s="288"/>
      <c r="G2" s="291"/>
      <c r="H2" s="14"/>
      <c r="I2" s="14"/>
      <c r="J2" s="14"/>
      <c r="K2" s="14"/>
      <c r="L2" s="14"/>
      <c r="M2" s="10"/>
      <c r="N2" s="10"/>
    </row>
    <row r="3" spans="1:15" s="4" customFormat="1" ht="35.25" customHeight="1" x14ac:dyDescent="0.3">
      <c r="A3" s="305" t="s">
        <v>135</v>
      </c>
      <c r="B3" s="305"/>
      <c r="C3" s="305"/>
      <c r="D3" s="305"/>
      <c r="E3" s="305"/>
      <c r="F3" s="305"/>
      <c r="G3" s="305"/>
      <c r="H3" s="14"/>
      <c r="I3" s="14"/>
      <c r="J3" s="14"/>
      <c r="K3" s="14"/>
      <c r="L3" s="14"/>
      <c r="M3" s="10"/>
      <c r="N3" s="10"/>
    </row>
    <row r="4" spans="1:15" s="4" customFormat="1" ht="20.25" x14ac:dyDescent="0.3">
      <c r="A4" s="292"/>
      <c r="B4" s="293"/>
      <c r="C4" s="294"/>
      <c r="D4" s="292"/>
      <c r="E4" s="294"/>
      <c r="F4" s="295"/>
      <c r="G4" s="296"/>
      <c r="H4" s="10"/>
      <c r="I4" s="10"/>
      <c r="J4" s="10"/>
      <c r="K4" s="10"/>
      <c r="L4" s="10"/>
      <c r="M4" s="10"/>
      <c r="N4" s="10"/>
    </row>
    <row r="5" spans="1:15" s="4" customFormat="1" ht="23.25" x14ac:dyDescent="0.35">
      <c r="A5" s="173"/>
      <c r="B5" s="272"/>
      <c r="C5" s="173"/>
      <c r="D5" s="173"/>
      <c r="E5" s="173"/>
      <c r="F5" s="273" t="s">
        <v>77</v>
      </c>
      <c r="G5" s="173"/>
    </row>
    <row r="6" spans="1:15" ht="23.25" x14ac:dyDescent="0.35">
      <c r="A6" s="173"/>
      <c r="B6" s="272" t="s">
        <v>24</v>
      </c>
      <c r="C6" s="173"/>
      <c r="D6" s="173"/>
      <c r="E6" s="173"/>
      <c r="F6" s="274"/>
      <c r="G6" s="173"/>
    </row>
    <row r="7" spans="1:15" ht="24.95" customHeight="1" x14ac:dyDescent="0.3">
      <c r="A7" s="173"/>
      <c r="B7" s="275" t="str">
        <f>'Facility Data Entry'!A47</f>
        <v>Total Administrative Area for the Facility (SF)</v>
      </c>
      <c r="C7" s="173"/>
      <c r="D7" s="206"/>
      <c r="E7" s="173"/>
      <c r="F7" s="317">
        <f>ROUND('Facility Data Entry'!E47,-2)</f>
        <v>0</v>
      </c>
      <c r="G7" s="173"/>
    </row>
    <row r="8" spans="1:15" ht="24.95" customHeight="1" x14ac:dyDescent="0.3">
      <c r="A8" s="173"/>
      <c r="B8" s="275"/>
      <c r="C8" s="173"/>
      <c r="D8" s="206"/>
      <c r="E8" s="173"/>
      <c r="F8" s="276"/>
      <c r="G8" s="173"/>
    </row>
    <row r="9" spans="1:15" ht="24.95" customHeight="1" x14ac:dyDescent="0.3">
      <c r="A9" s="173"/>
      <c r="B9" s="275" t="str">
        <f>'Facility Data Entry'!A82</f>
        <v>Total Operations Areas for the Facility (SF)</v>
      </c>
      <c r="C9" s="173"/>
      <c r="D9" s="173"/>
      <c r="E9" s="173"/>
      <c r="F9" s="317">
        <f>ROUND('Facility Data Entry'!E82,-2)</f>
        <v>0</v>
      </c>
      <c r="G9" s="173"/>
    </row>
    <row r="10" spans="1:15" ht="24.95" customHeight="1" x14ac:dyDescent="0.35">
      <c r="A10" s="173"/>
      <c r="B10" s="275"/>
      <c r="C10" s="173"/>
      <c r="D10" s="173"/>
      <c r="E10" s="173"/>
      <c r="F10" s="277"/>
      <c r="G10" s="173"/>
    </row>
    <row r="11" spans="1:15" ht="24.95" customHeight="1" x14ac:dyDescent="0.3">
      <c r="A11" s="173"/>
      <c r="B11" s="275" t="str">
        <f>'Facility Data Entry'!A147</f>
        <v>Total Vehicle Maintenance Areas for the Facility (SF)</v>
      </c>
      <c r="C11" s="173"/>
      <c r="D11" s="206"/>
      <c r="E11" s="173"/>
      <c r="F11" s="317">
        <f>ROUND('Facility Data Entry'!E147,-2)</f>
        <v>0</v>
      </c>
      <c r="G11" s="173"/>
    </row>
    <row r="12" spans="1:15" ht="24.95" customHeight="1" x14ac:dyDescent="0.3">
      <c r="A12" s="173"/>
      <c r="B12" s="275"/>
      <c r="C12" s="173"/>
      <c r="D12" s="206"/>
      <c r="E12" s="173"/>
      <c r="F12" s="276"/>
      <c r="G12" s="173"/>
    </row>
    <row r="13" spans="1:15" ht="24.95" customHeight="1" x14ac:dyDescent="0.3">
      <c r="A13" s="173"/>
      <c r="B13" s="275" t="str">
        <f>'Facility Data Entry'!A163</f>
        <v>Total Parts Storage Areas for the Facility (SF)</v>
      </c>
      <c r="C13" s="173"/>
      <c r="D13" s="206"/>
      <c r="E13" s="173"/>
      <c r="F13" s="317">
        <f>ROUND('Facility Data Entry'!E163,-2)</f>
        <v>0</v>
      </c>
      <c r="G13" s="173"/>
    </row>
    <row r="14" spans="1:15" ht="24.95" customHeight="1" x14ac:dyDescent="0.3">
      <c r="A14" s="173"/>
      <c r="B14" s="275"/>
      <c r="C14" s="173"/>
      <c r="D14" s="206"/>
      <c r="E14" s="173"/>
      <c r="F14" s="276"/>
      <c r="G14" s="173"/>
    </row>
    <row r="15" spans="1:15" ht="24.95" customHeight="1" x14ac:dyDescent="0.3">
      <c r="A15" s="173"/>
      <c r="B15" s="275" t="s">
        <v>242</v>
      </c>
      <c r="C15" s="173"/>
      <c r="D15" s="206"/>
      <c r="E15" s="173"/>
      <c r="F15" s="317" t="str">
        <f>IF('Bus Parking Scenarios'!$A$7='List Data'!$A$2,'Bus Parking Scenarios'!$F$24,"0")</f>
        <v>0</v>
      </c>
      <c r="G15" s="173"/>
    </row>
    <row r="16" spans="1:15" ht="24.95" customHeight="1" x14ac:dyDescent="0.3">
      <c r="A16" s="206"/>
      <c r="B16" s="278"/>
      <c r="C16" s="206"/>
      <c r="D16" s="206"/>
      <c r="E16" s="206"/>
      <c r="F16" s="276"/>
      <c r="G16" s="173"/>
    </row>
    <row r="17" spans="1:7" ht="24.95" customHeight="1" x14ac:dyDescent="0.3">
      <c r="A17" s="206"/>
      <c r="B17" s="279" t="s">
        <v>250</v>
      </c>
      <c r="C17" s="206"/>
      <c r="D17" s="206"/>
      <c r="E17" s="206"/>
      <c r="F17" s="317">
        <f>ROUND('Facility Data Entry'!E177,-2)</f>
        <v>0</v>
      </c>
      <c r="G17" s="173"/>
    </row>
    <row r="18" spans="1:7" ht="24.95" customHeight="1" x14ac:dyDescent="0.3">
      <c r="A18" s="206"/>
      <c r="B18" s="278"/>
      <c r="C18" s="206"/>
      <c r="D18" s="206"/>
      <c r="E18" s="206"/>
      <c r="F18" s="276"/>
      <c r="G18" s="173"/>
    </row>
    <row r="19" spans="1:7" ht="24.95" customHeight="1" x14ac:dyDescent="0.3">
      <c r="A19" s="206"/>
      <c r="B19" s="280"/>
      <c r="C19" s="286" t="s">
        <v>76</v>
      </c>
      <c r="D19" s="281"/>
      <c r="E19" s="281"/>
      <c r="F19" s="317">
        <f>ROUND(SUM(F17,F15,F13,F11,F9,F7),-2)</f>
        <v>0</v>
      </c>
      <c r="G19" s="173"/>
    </row>
    <row r="20" spans="1:7" ht="24.95" customHeight="1" x14ac:dyDescent="0.3">
      <c r="A20" s="206"/>
      <c r="B20" s="278"/>
      <c r="C20" s="282"/>
      <c r="D20" s="206"/>
      <c r="E20" s="206"/>
      <c r="F20" s="283"/>
      <c r="G20" s="173"/>
    </row>
    <row r="21" spans="1:7" ht="24.95" customHeight="1" x14ac:dyDescent="0.4">
      <c r="A21" s="206"/>
      <c r="B21" s="284" t="s">
        <v>25</v>
      </c>
      <c r="C21" s="206"/>
      <c r="D21" s="206"/>
      <c r="E21" s="206"/>
      <c r="F21" s="283"/>
      <c r="G21" s="173"/>
    </row>
    <row r="22" spans="1:7" ht="24.95" customHeight="1" x14ac:dyDescent="0.3">
      <c r="A22" s="173"/>
      <c r="B22" s="275" t="s">
        <v>241</v>
      </c>
      <c r="C22" s="173"/>
      <c r="D22" s="206"/>
      <c r="E22" s="173"/>
      <c r="F22" s="317" t="str">
        <f>IF('Bus Parking Scenarios'!$A$7='List Data'!$A$3,'Bus Parking Scenarios'!$F$24,"0")</f>
        <v>0</v>
      </c>
      <c r="G22" s="173"/>
    </row>
    <row r="23" spans="1:7" ht="24.95" customHeight="1" x14ac:dyDescent="0.3">
      <c r="A23" s="206"/>
      <c r="B23" s="278"/>
      <c r="C23" s="206"/>
      <c r="D23" s="206"/>
      <c r="E23" s="206"/>
      <c r="F23" s="276"/>
      <c r="G23" s="173"/>
    </row>
    <row r="24" spans="1:7" ht="24.95" customHeight="1" x14ac:dyDescent="0.3">
      <c r="A24" s="206"/>
      <c r="B24" s="280"/>
      <c r="C24" s="286" t="s">
        <v>78</v>
      </c>
      <c r="D24" s="281"/>
      <c r="E24" s="281"/>
      <c r="F24" s="317">
        <f>SUM(F22)</f>
        <v>0</v>
      </c>
      <c r="G24" s="173"/>
    </row>
    <row r="25" spans="1:7" ht="24.95" customHeight="1" x14ac:dyDescent="0.3">
      <c r="A25" s="206"/>
      <c r="B25" s="278"/>
      <c r="C25" s="206"/>
      <c r="D25" s="206"/>
      <c r="E25" s="206"/>
      <c r="F25" s="276"/>
      <c r="G25" s="173"/>
    </row>
    <row r="26" spans="1:7" ht="24.95" customHeight="1" x14ac:dyDescent="0.4">
      <c r="A26" s="206"/>
      <c r="B26" s="284" t="s">
        <v>75</v>
      </c>
      <c r="C26" s="206"/>
      <c r="D26" s="206"/>
      <c r="E26" s="206"/>
      <c r="F26" s="276"/>
      <c r="G26" s="173"/>
    </row>
    <row r="27" spans="1:7" ht="24.95" customHeight="1" x14ac:dyDescent="0.3">
      <c r="A27" s="173"/>
      <c r="B27" s="275" t="s">
        <v>240</v>
      </c>
      <c r="C27" s="173"/>
      <c r="D27" s="206"/>
      <c r="E27" s="173"/>
      <c r="F27" s="317">
        <f>IF('Bus Parking Scenarios'!$A$7='List Data'!$A$4,'Bus Parking Scenarios'!$F$24,"0")</f>
        <v>0</v>
      </c>
      <c r="G27" s="173"/>
    </row>
    <row r="28" spans="1:7" ht="24.95" customHeight="1" x14ac:dyDescent="0.3">
      <c r="A28" s="206"/>
      <c r="B28" s="278"/>
      <c r="C28" s="206"/>
      <c r="D28" s="206"/>
      <c r="E28" s="206"/>
      <c r="F28" s="276"/>
      <c r="G28" s="173"/>
    </row>
    <row r="29" spans="1:7" ht="24.95" customHeight="1" x14ac:dyDescent="0.3">
      <c r="A29" s="206"/>
      <c r="B29" s="275" t="str">
        <f>'Facility Data Entry'!A190</f>
        <v>Total Vehicle Parking Areas for the Facility (SF)</v>
      </c>
      <c r="C29" s="206"/>
      <c r="D29" s="206"/>
      <c r="E29" s="206"/>
      <c r="F29" s="317">
        <f>ROUND('Facility Data Entry'!E190,-2)</f>
        <v>0</v>
      </c>
      <c r="G29" s="173"/>
    </row>
    <row r="30" spans="1:7" ht="24.95" customHeight="1" x14ac:dyDescent="0.3">
      <c r="A30" s="206"/>
      <c r="B30" s="275"/>
      <c r="C30" s="206"/>
      <c r="D30" s="206"/>
      <c r="E30" s="206"/>
      <c r="F30" s="276"/>
      <c r="G30" s="173"/>
    </row>
    <row r="31" spans="1:7" ht="24.95" customHeight="1" x14ac:dyDescent="0.3">
      <c r="A31" s="206"/>
      <c r="B31" s="275" t="str">
        <f>'Facility Data Entry'!A202</f>
        <v>Total Exterior Storage Areas for the Facility (SF)</v>
      </c>
      <c r="C31" s="206"/>
      <c r="D31" s="206"/>
      <c r="E31" s="206"/>
      <c r="F31" s="317">
        <f>ROUND('Facility Data Entry'!E202,-2)</f>
        <v>0</v>
      </c>
      <c r="G31" s="173"/>
    </row>
    <row r="32" spans="1:7" ht="24.95" customHeight="1" x14ac:dyDescent="0.3">
      <c r="A32" s="206"/>
      <c r="B32" s="275"/>
      <c r="C32" s="206"/>
      <c r="D32" s="206"/>
      <c r="E32" s="206"/>
      <c r="F32" s="276"/>
      <c r="G32" s="173"/>
    </row>
    <row r="33" spans="1:7" ht="24.95" customHeight="1" x14ac:dyDescent="0.3">
      <c r="A33" s="206"/>
      <c r="B33" s="275" t="str">
        <f>'Facility Data Entry'!A208</f>
        <v>Total Exterior Storm Water Management Areas for the Facility (SF)</v>
      </c>
      <c r="C33" s="206"/>
      <c r="D33" s="206"/>
      <c r="E33" s="206"/>
      <c r="F33" s="317">
        <f>ROUND('Facility Data Entry'!E208,-2)</f>
        <v>0</v>
      </c>
      <c r="G33" s="173"/>
    </row>
    <row r="34" spans="1:7" ht="24.95" customHeight="1" x14ac:dyDescent="0.3">
      <c r="A34" s="206"/>
      <c r="B34" s="278"/>
      <c r="C34" s="206"/>
      <c r="D34" s="206"/>
      <c r="E34" s="206"/>
      <c r="F34" s="276"/>
      <c r="G34" s="173"/>
    </row>
    <row r="35" spans="1:7" ht="24.95" customHeight="1" x14ac:dyDescent="0.3">
      <c r="A35" s="206"/>
      <c r="B35" s="280"/>
      <c r="C35" s="286" t="s">
        <v>79</v>
      </c>
      <c r="D35" s="281"/>
      <c r="E35" s="281"/>
      <c r="F35" s="317">
        <f>SUM(F33,F31,F29,F27)</f>
        <v>0</v>
      </c>
      <c r="G35" s="173"/>
    </row>
    <row r="36" spans="1:7" ht="24.95" customHeight="1" x14ac:dyDescent="0.3">
      <c r="A36" s="206"/>
      <c r="B36" s="278"/>
      <c r="C36" s="282"/>
      <c r="D36" s="206"/>
      <c r="E36" s="206"/>
      <c r="F36" s="276"/>
      <c r="G36" s="173"/>
    </row>
    <row r="37" spans="1:7" ht="24.95" customHeight="1" x14ac:dyDescent="0.3">
      <c r="A37" s="206"/>
      <c r="B37" s="280"/>
      <c r="C37" s="286" t="s">
        <v>80</v>
      </c>
      <c r="D37" s="281"/>
      <c r="E37" s="281"/>
      <c r="F37" s="317">
        <f>SUM(F35,F24,F19)</f>
        <v>0</v>
      </c>
      <c r="G37" s="173"/>
    </row>
    <row r="38" spans="1:7" ht="24.95" customHeight="1" x14ac:dyDescent="0.3">
      <c r="A38" s="206"/>
      <c r="B38" s="278"/>
      <c r="C38" s="282"/>
      <c r="D38" s="206"/>
      <c r="E38" s="206"/>
      <c r="F38" s="276"/>
      <c r="G38" s="173"/>
    </row>
    <row r="39" spans="1:7" ht="24.95" customHeight="1" x14ac:dyDescent="0.3">
      <c r="A39" s="206"/>
      <c r="B39" s="279" t="s">
        <v>161</v>
      </c>
      <c r="C39" s="282"/>
      <c r="D39" s="206"/>
      <c r="E39" s="206"/>
      <c r="F39" s="317">
        <f>F37*1</f>
        <v>0</v>
      </c>
      <c r="G39" s="173"/>
    </row>
    <row r="40" spans="1:7" ht="24.95" customHeight="1" x14ac:dyDescent="0.3">
      <c r="A40" s="206"/>
      <c r="B40" s="278"/>
      <c r="C40" s="282"/>
      <c r="D40" s="206"/>
      <c r="E40" s="206"/>
      <c r="F40" s="283"/>
      <c r="G40" s="173"/>
    </row>
    <row r="41" spans="1:7" ht="24.95" customHeight="1" x14ac:dyDescent="0.3">
      <c r="A41" s="206"/>
      <c r="B41" s="280"/>
      <c r="C41" s="286" t="s">
        <v>106</v>
      </c>
      <c r="D41" s="281"/>
      <c r="E41" s="281"/>
      <c r="F41" s="317">
        <f>SUM(F39:F40,F37)</f>
        <v>0</v>
      </c>
      <c r="G41" s="173"/>
    </row>
    <row r="42" spans="1:7" ht="45.75" customHeight="1" x14ac:dyDescent="0.3">
      <c r="A42" s="206"/>
      <c r="B42" s="278"/>
      <c r="C42" s="285" t="s">
        <v>81</v>
      </c>
      <c r="D42" s="206"/>
      <c r="E42" s="206"/>
      <c r="F42" s="318">
        <f>F41/43560</f>
        <v>0</v>
      </c>
      <c r="G42" s="173"/>
    </row>
    <row r="43" spans="1:7" x14ac:dyDescent="0.3">
      <c r="A43" s="297"/>
      <c r="B43" s="297"/>
      <c r="C43" s="297"/>
      <c r="D43" s="297"/>
      <c r="E43" s="297"/>
      <c r="F43" s="298"/>
      <c r="G43" s="297"/>
    </row>
  </sheetData>
  <mergeCells count="1">
    <mergeCell ref="A3:G3"/>
  </mergeCells>
  <pageMargins left="0.7" right="0.7" top="0.75" bottom="0.75" header="0.3" footer="0.3"/>
  <pageSetup scale="58" fitToHeight="0" orientation="portrait" r:id="rId1"/>
  <headerFooter>
    <oddFooter>&amp;L&amp;A&amp;RPage &amp;P</oddFooter>
  </headerFooter>
  <rowBreaks count="1" manualBreakCount="1">
    <brk id="42" max="6" man="1"/>
  </rowBreaks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T60"/>
  <sheetViews>
    <sheetView zoomScale="51" zoomScaleNormal="51" zoomScaleSheetLayoutView="70" workbookViewId="0">
      <selection activeCell="P4" sqref="P4"/>
    </sheetView>
  </sheetViews>
  <sheetFormatPr defaultColWidth="8.75" defaultRowHeight="17.25" x14ac:dyDescent="0.2"/>
  <cols>
    <col min="1" max="1" width="3.375" style="22" customWidth="1"/>
    <col min="2" max="2" width="78" style="22" customWidth="1"/>
    <col min="3" max="3" width="7.75" style="22" customWidth="1"/>
    <col min="4" max="4" width="16" style="23" customWidth="1"/>
    <col min="5" max="5" width="18.75" style="22" customWidth="1"/>
    <col min="6" max="6" width="32.625" style="21" customWidth="1"/>
    <col min="7" max="7" width="18.625" style="23" customWidth="1"/>
    <col min="8" max="9" width="18.625" style="22" customWidth="1"/>
    <col min="10" max="12" width="18.625" style="23" customWidth="1"/>
    <col min="13" max="13" width="16.5" style="23" customWidth="1"/>
    <col min="14" max="14" width="30.75" style="22" customWidth="1"/>
    <col min="15" max="15" width="2.25" style="28" customWidth="1"/>
    <col min="16" max="16" width="19.875" style="22" customWidth="1"/>
    <col min="17" max="17" width="15.5" style="22" customWidth="1"/>
    <col min="18" max="256" width="8.75" style="22"/>
    <col min="257" max="257" width="3.375" style="22" customWidth="1"/>
    <col min="258" max="258" width="41.875" style="22" customWidth="1"/>
    <col min="259" max="259" width="6.375" style="22" customWidth="1"/>
    <col min="260" max="260" width="18.625" style="22" customWidth="1"/>
    <col min="261" max="261" width="25.375" style="22" customWidth="1"/>
    <col min="262" max="262" width="23.25" style="22" customWidth="1"/>
    <col min="263" max="263" width="20.625" style="22" customWidth="1"/>
    <col min="264" max="264" width="22" style="22" customWidth="1"/>
    <col min="265" max="265" width="20.5" style="22" customWidth="1"/>
    <col min="266" max="268" width="18.625" style="22" customWidth="1"/>
    <col min="269" max="269" width="34.5" style="22" customWidth="1"/>
    <col min="270" max="270" width="35.5" style="22" customWidth="1"/>
    <col min="271" max="271" width="16.875" style="22" customWidth="1"/>
    <col min="272" max="272" width="19.875" style="22" customWidth="1"/>
    <col min="273" max="273" width="15.5" style="22" customWidth="1"/>
    <col min="274" max="512" width="8.75" style="22"/>
    <col min="513" max="513" width="3.375" style="22" customWidth="1"/>
    <col min="514" max="514" width="41.875" style="22" customWidth="1"/>
    <col min="515" max="515" width="6.375" style="22" customWidth="1"/>
    <col min="516" max="516" width="18.625" style="22" customWidth="1"/>
    <col min="517" max="517" width="25.375" style="22" customWidth="1"/>
    <col min="518" max="518" width="23.25" style="22" customWidth="1"/>
    <col min="519" max="519" width="20.625" style="22" customWidth="1"/>
    <col min="520" max="520" width="22" style="22" customWidth="1"/>
    <col min="521" max="521" width="20.5" style="22" customWidth="1"/>
    <col min="522" max="524" width="18.625" style="22" customWidth="1"/>
    <col min="525" max="525" width="34.5" style="22" customWidth="1"/>
    <col min="526" max="526" width="35.5" style="22" customWidth="1"/>
    <col min="527" max="527" width="16.875" style="22" customWidth="1"/>
    <col min="528" max="528" width="19.875" style="22" customWidth="1"/>
    <col min="529" max="529" width="15.5" style="22" customWidth="1"/>
    <col min="530" max="768" width="8.75" style="22"/>
    <col min="769" max="769" width="3.375" style="22" customWidth="1"/>
    <col min="770" max="770" width="41.875" style="22" customWidth="1"/>
    <col min="771" max="771" width="6.375" style="22" customWidth="1"/>
    <col min="772" max="772" width="18.625" style="22" customWidth="1"/>
    <col min="773" max="773" width="25.375" style="22" customWidth="1"/>
    <col min="774" max="774" width="23.25" style="22" customWidth="1"/>
    <col min="775" max="775" width="20.625" style="22" customWidth="1"/>
    <col min="776" max="776" width="22" style="22" customWidth="1"/>
    <col min="777" max="777" width="20.5" style="22" customWidth="1"/>
    <col min="778" max="780" width="18.625" style="22" customWidth="1"/>
    <col min="781" max="781" width="34.5" style="22" customWidth="1"/>
    <col min="782" max="782" width="35.5" style="22" customWidth="1"/>
    <col min="783" max="783" width="16.875" style="22" customWidth="1"/>
    <col min="784" max="784" width="19.875" style="22" customWidth="1"/>
    <col min="785" max="785" width="15.5" style="22" customWidth="1"/>
    <col min="786" max="1024" width="8.75" style="22"/>
    <col min="1025" max="1025" width="3.375" style="22" customWidth="1"/>
    <col min="1026" max="1026" width="41.875" style="22" customWidth="1"/>
    <col min="1027" max="1027" width="6.375" style="22" customWidth="1"/>
    <col min="1028" max="1028" width="18.625" style="22" customWidth="1"/>
    <col min="1029" max="1029" width="25.375" style="22" customWidth="1"/>
    <col min="1030" max="1030" width="23.25" style="22" customWidth="1"/>
    <col min="1031" max="1031" width="20.625" style="22" customWidth="1"/>
    <col min="1032" max="1032" width="22" style="22" customWidth="1"/>
    <col min="1033" max="1033" width="20.5" style="22" customWidth="1"/>
    <col min="1034" max="1036" width="18.625" style="22" customWidth="1"/>
    <col min="1037" max="1037" width="34.5" style="22" customWidth="1"/>
    <col min="1038" max="1038" width="35.5" style="22" customWidth="1"/>
    <col min="1039" max="1039" width="16.875" style="22" customWidth="1"/>
    <col min="1040" max="1040" width="19.875" style="22" customWidth="1"/>
    <col min="1041" max="1041" width="15.5" style="22" customWidth="1"/>
    <col min="1042" max="1280" width="8.75" style="22"/>
    <col min="1281" max="1281" width="3.375" style="22" customWidth="1"/>
    <col min="1282" max="1282" width="41.875" style="22" customWidth="1"/>
    <col min="1283" max="1283" width="6.375" style="22" customWidth="1"/>
    <col min="1284" max="1284" width="18.625" style="22" customWidth="1"/>
    <col min="1285" max="1285" width="25.375" style="22" customWidth="1"/>
    <col min="1286" max="1286" width="23.25" style="22" customWidth="1"/>
    <col min="1287" max="1287" width="20.625" style="22" customWidth="1"/>
    <col min="1288" max="1288" width="22" style="22" customWidth="1"/>
    <col min="1289" max="1289" width="20.5" style="22" customWidth="1"/>
    <col min="1290" max="1292" width="18.625" style="22" customWidth="1"/>
    <col min="1293" max="1293" width="34.5" style="22" customWidth="1"/>
    <col min="1294" max="1294" width="35.5" style="22" customWidth="1"/>
    <col min="1295" max="1295" width="16.875" style="22" customWidth="1"/>
    <col min="1296" max="1296" width="19.875" style="22" customWidth="1"/>
    <col min="1297" max="1297" width="15.5" style="22" customWidth="1"/>
    <col min="1298" max="1536" width="8.75" style="22"/>
    <col min="1537" max="1537" width="3.375" style="22" customWidth="1"/>
    <col min="1538" max="1538" width="41.875" style="22" customWidth="1"/>
    <col min="1539" max="1539" width="6.375" style="22" customWidth="1"/>
    <col min="1540" max="1540" width="18.625" style="22" customWidth="1"/>
    <col min="1541" max="1541" width="25.375" style="22" customWidth="1"/>
    <col min="1542" max="1542" width="23.25" style="22" customWidth="1"/>
    <col min="1543" max="1543" width="20.625" style="22" customWidth="1"/>
    <col min="1544" max="1544" width="22" style="22" customWidth="1"/>
    <col min="1545" max="1545" width="20.5" style="22" customWidth="1"/>
    <col min="1546" max="1548" width="18.625" style="22" customWidth="1"/>
    <col min="1549" max="1549" width="34.5" style="22" customWidth="1"/>
    <col min="1550" max="1550" width="35.5" style="22" customWidth="1"/>
    <col min="1551" max="1551" width="16.875" style="22" customWidth="1"/>
    <col min="1552" max="1552" width="19.875" style="22" customWidth="1"/>
    <col min="1553" max="1553" width="15.5" style="22" customWidth="1"/>
    <col min="1554" max="1792" width="8.75" style="22"/>
    <col min="1793" max="1793" width="3.375" style="22" customWidth="1"/>
    <col min="1794" max="1794" width="41.875" style="22" customWidth="1"/>
    <col min="1795" max="1795" width="6.375" style="22" customWidth="1"/>
    <col min="1796" max="1796" width="18.625" style="22" customWidth="1"/>
    <col min="1797" max="1797" width="25.375" style="22" customWidth="1"/>
    <col min="1798" max="1798" width="23.25" style="22" customWidth="1"/>
    <col min="1799" max="1799" width="20.625" style="22" customWidth="1"/>
    <col min="1800" max="1800" width="22" style="22" customWidth="1"/>
    <col min="1801" max="1801" width="20.5" style="22" customWidth="1"/>
    <col min="1802" max="1804" width="18.625" style="22" customWidth="1"/>
    <col min="1805" max="1805" width="34.5" style="22" customWidth="1"/>
    <col min="1806" max="1806" width="35.5" style="22" customWidth="1"/>
    <col min="1807" max="1807" width="16.875" style="22" customWidth="1"/>
    <col min="1808" max="1808" width="19.875" style="22" customWidth="1"/>
    <col min="1809" max="1809" width="15.5" style="22" customWidth="1"/>
    <col min="1810" max="2048" width="8.75" style="22"/>
    <col min="2049" max="2049" width="3.375" style="22" customWidth="1"/>
    <col min="2050" max="2050" width="41.875" style="22" customWidth="1"/>
    <col min="2051" max="2051" width="6.375" style="22" customWidth="1"/>
    <col min="2052" max="2052" width="18.625" style="22" customWidth="1"/>
    <col min="2053" max="2053" width="25.375" style="22" customWidth="1"/>
    <col min="2054" max="2054" width="23.25" style="22" customWidth="1"/>
    <col min="2055" max="2055" width="20.625" style="22" customWidth="1"/>
    <col min="2056" max="2056" width="22" style="22" customWidth="1"/>
    <col min="2057" max="2057" width="20.5" style="22" customWidth="1"/>
    <col min="2058" max="2060" width="18.625" style="22" customWidth="1"/>
    <col min="2061" max="2061" width="34.5" style="22" customWidth="1"/>
    <col min="2062" max="2062" width="35.5" style="22" customWidth="1"/>
    <col min="2063" max="2063" width="16.875" style="22" customWidth="1"/>
    <col min="2064" max="2064" width="19.875" style="22" customWidth="1"/>
    <col min="2065" max="2065" width="15.5" style="22" customWidth="1"/>
    <col min="2066" max="2304" width="8.75" style="22"/>
    <col min="2305" max="2305" width="3.375" style="22" customWidth="1"/>
    <col min="2306" max="2306" width="41.875" style="22" customWidth="1"/>
    <col min="2307" max="2307" width="6.375" style="22" customWidth="1"/>
    <col min="2308" max="2308" width="18.625" style="22" customWidth="1"/>
    <col min="2309" max="2309" width="25.375" style="22" customWidth="1"/>
    <col min="2310" max="2310" width="23.25" style="22" customWidth="1"/>
    <col min="2311" max="2311" width="20.625" style="22" customWidth="1"/>
    <col min="2312" max="2312" width="22" style="22" customWidth="1"/>
    <col min="2313" max="2313" width="20.5" style="22" customWidth="1"/>
    <col min="2314" max="2316" width="18.625" style="22" customWidth="1"/>
    <col min="2317" max="2317" width="34.5" style="22" customWidth="1"/>
    <col min="2318" max="2318" width="35.5" style="22" customWidth="1"/>
    <col min="2319" max="2319" width="16.875" style="22" customWidth="1"/>
    <col min="2320" max="2320" width="19.875" style="22" customWidth="1"/>
    <col min="2321" max="2321" width="15.5" style="22" customWidth="1"/>
    <col min="2322" max="2560" width="8.75" style="22"/>
    <col min="2561" max="2561" width="3.375" style="22" customWidth="1"/>
    <col min="2562" max="2562" width="41.875" style="22" customWidth="1"/>
    <col min="2563" max="2563" width="6.375" style="22" customWidth="1"/>
    <col min="2564" max="2564" width="18.625" style="22" customWidth="1"/>
    <col min="2565" max="2565" width="25.375" style="22" customWidth="1"/>
    <col min="2566" max="2566" width="23.25" style="22" customWidth="1"/>
    <col min="2567" max="2567" width="20.625" style="22" customWidth="1"/>
    <col min="2568" max="2568" width="22" style="22" customWidth="1"/>
    <col min="2569" max="2569" width="20.5" style="22" customWidth="1"/>
    <col min="2570" max="2572" width="18.625" style="22" customWidth="1"/>
    <col min="2573" max="2573" width="34.5" style="22" customWidth="1"/>
    <col min="2574" max="2574" width="35.5" style="22" customWidth="1"/>
    <col min="2575" max="2575" width="16.875" style="22" customWidth="1"/>
    <col min="2576" max="2576" width="19.875" style="22" customWidth="1"/>
    <col min="2577" max="2577" width="15.5" style="22" customWidth="1"/>
    <col min="2578" max="2816" width="8.75" style="22"/>
    <col min="2817" max="2817" width="3.375" style="22" customWidth="1"/>
    <col min="2818" max="2818" width="41.875" style="22" customWidth="1"/>
    <col min="2819" max="2819" width="6.375" style="22" customWidth="1"/>
    <col min="2820" max="2820" width="18.625" style="22" customWidth="1"/>
    <col min="2821" max="2821" width="25.375" style="22" customWidth="1"/>
    <col min="2822" max="2822" width="23.25" style="22" customWidth="1"/>
    <col min="2823" max="2823" width="20.625" style="22" customWidth="1"/>
    <col min="2824" max="2824" width="22" style="22" customWidth="1"/>
    <col min="2825" max="2825" width="20.5" style="22" customWidth="1"/>
    <col min="2826" max="2828" width="18.625" style="22" customWidth="1"/>
    <col min="2829" max="2829" width="34.5" style="22" customWidth="1"/>
    <col min="2830" max="2830" width="35.5" style="22" customWidth="1"/>
    <col min="2831" max="2831" width="16.875" style="22" customWidth="1"/>
    <col min="2832" max="2832" width="19.875" style="22" customWidth="1"/>
    <col min="2833" max="2833" width="15.5" style="22" customWidth="1"/>
    <col min="2834" max="3072" width="8.75" style="22"/>
    <col min="3073" max="3073" width="3.375" style="22" customWidth="1"/>
    <col min="3074" max="3074" width="41.875" style="22" customWidth="1"/>
    <col min="3075" max="3075" width="6.375" style="22" customWidth="1"/>
    <col min="3076" max="3076" width="18.625" style="22" customWidth="1"/>
    <col min="3077" max="3077" width="25.375" style="22" customWidth="1"/>
    <col min="3078" max="3078" width="23.25" style="22" customWidth="1"/>
    <col min="3079" max="3079" width="20.625" style="22" customWidth="1"/>
    <col min="3080" max="3080" width="22" style="22" customWidth="1"/>
    <col min="3081" max="3081" width="20.5" style="22" customWidth="1"/>
    <col min="3082" max="3084" width="18.625" style="22" customWidth="1"/>
    <col min="3085" max="3085" width="34.5" style="22" customWidth="1"/>
    <col min="3086" max="3086" width="35.5" style="22" customWidth="1"/>
    <col min="3087" max="3087" width="16.875" style="22" customWidth="1"/>
    <col min="3088" max="3088" width="19.875" style="22" customWidth="1"/>
    <col min="3089" max="3089" width="15.5" style="22" customWidth="1"/>
    <col min="3090" max="3328" width="8.75" style="22"/>
    <col min="3329" max="3329" width="3.375" style="22" customWidth="1"/>
    <col min="3330" max="3330" width="41.875" style="22" customWidth="1"/>
    <col min="3331" max="3331" width="6.375" style="22" customWidth="1"/>
    <col min="3332" max="3332" width="18.625" style="22" customWidth="1"/>
    <col min="3333" max="3333" width="25.375" style="22" customWidth="1"/>
    <col min="3334" max="3334" width="23.25" style="22" customWidth="1"/>
    <col min="3335" max="3335" width="20.625" style="22" customWidth="1"/>
    <col min="3336" max="3336" width="22" style="22" customWidth="1"/>
    <col min="3337" max="3337" width="20.5" style="22" customWidth="1"/>
    <col min="3338" max="3340" width="18.625" style="22" customWidth="1"/>
    <col min="3341" max="3341" width="34.5" style="22" customWidth="1"/>
    <col min="3342" max="3342" width="35.5" style="22" customWidth="1"/>
    <col min="3343" max="3343" width="16.875" style="22" customWidth="1"/>
    <col min="3344" max="3344" width="19.875" style="22" customWidth="1"/>
    <col min="3345" max="3345" width="15.5" style="22" customWidth="1"/>
    <col min="3346" max="3584" width="8.75" style="22"/>
    <col min="3585" max="3585" width="3.375" style="22" customWidth="1"/>
    <col min="3586" max="3586" width="41.875" style="22" customWidth="1"/>
    <col min="3587" max="3587" width="6.375" style="22" customWidth="1"/>
    <col min="3588" max="3588" width="18.625" style="22" customWidth="1"/>
    <col min="3589" max="3589" width="25.375" style="22" customWidth="1"/>
    <col min="3590" max="3590" width="23.25" style="22" customWidth="1"/>
    <col min="3591" max="3591" width="20.625" style="22" customWidth="1"/>
    <col min="3592" max="3592" width="22" style="22" customWidth="1"/>
    <col min="3593" max="3593" width="20.5" style="22" customWidth="1"/>
    <col min="3594" max="3596" width="18.625" style="22" customWidth="1"/>
    <col min="3597" max="3597" width="34.5" style="22" customWidth="1"/>
    <col min="3598" max="3598" width="35.5" style="22" customWidth="1"/>
    <col min="3599" max="3599" width="16.875" style="22" customWidth="1"/>
    <col min="3600" max="3600" width="19.875" style="22" customWidth="1"/>
    <col min="3601" max="3601" width="15.5" style="22" customWidth="1"/>
    <col min="3602" max="3840" width="8.75" style="22"/>
    <col min="3841" max="3841" width="3.375" style="22" customWidth="1"/>
    <col min="3842" max="3842" width="41.875" style="22" customWidth="1"/>
    <col min="3843" max="3843" width="6.375" style="22" customWidth="1"/>
    <col min="3844" max="3844" width="18.625" style="22" customWidth="1"/>
    <col min="3845" max="3845" width="25.375" style="22" customWidth="1"/>
    <col min="3846" max="3846" width="23.25" style="22" customWidth="1"/>
    <col min="3847" max="3847" width="20.625" style="22" customWidth="1"/>
    <col min="3848" max="3848" width="22" style="22" customWidth="1"/>
    <col min="3849" max="3849" width="20.5" style="22" customWidth="1"/>
    <col min="3850" max="3852" width="18.625" style="22" customWidth="1"/>
    <col min="3853" max="3853" width="34.5" style="22" customWidth="1"/>
    <col min="3854" max="3854" width="35.5" style="22" customWidth="1"/>
    <col min="3855" max="3855" width="16.875" style="22" customWidth="1"/>
    <col min="3856" max="3856" width="19.875" style="22" customWidth="1"/>
    <col min="3857" max="3857" width="15.5" style="22" customWidth="1"/>
    <col min="3858" max="4096" width="8.75" style="22"/>
    <col min="4097" max="4097" width="3.375" style="22" customWidth="1"/>
    <col min="4098" max="4098" width="41.875" style="22" customWidth="1"/>
    <col min="4099" max="4099" width="6.375" style="22" customWidth="1"/>
    <col min="4100" max="4100" width="18.625" style="22" customWidth="1"/>
    <col min="4101" max="4101" width="25.375" style="22" customWidth="1"/>
    <col min="4102" max="4102" width="23.25" style="22" customWidth="1"/>
    <col min="4103" max="4103" width="20.625" style="22" customWidth="1"/>
    <col min="4104" max="4104" width="22" style="22" customWidth="1"/>
    <col min="4105" max="4105" width="20.5" style="22" customWidth="1"/>
    <col min="4106" max="4108" width="18.625" style="22" customWidth="1"/>
    <col min="4109" max="4109" width="34.5" style="22" customWidth="1"/>
    <col min="4110" max="4110" width="35.5" style="22" customWidth="1"/>
    <col min="4111" max="4111" width="16.875" style="22" customWidth="1"/>
    <col min="4112" max="4112" width="19.875" style="22" customWidth="1"/>
    <col min="4113" max="4113" width="15.5" style="22" customWidth="1"/>
    <col min="4114" max="4352" width="8.75" style="22"/>
    <col min="4353" max="4353" width="3.375" style="22" customWidth="1"/>
    <col min="4354" max="4354" width="41.875" style="22" customWidth="1"/>
    <col min="4355" max="4355" width="6.375" style="22" customWidth="1"/>
    <col min="4356" max="4356" width="18.625" style="22" customWidth="1"/>
    <col min="4357" max="4357" width="25.375" style="22" customWidth="1"/>
    <col min="4358" max="4358" width="23.25" style="22" customWidth="1"/>
    <col min="4359" max="4359" width="20.625" style="22" customWidth="1"/>
    <col min="4360" max="4360" width="22" style="22" customWidth="1"/>
    <col min="4361" max="4361" width="20.5" style="22" customWidth="1"/>
    <col min="4362" max="4364" width="18.625" style="22" customWidth="1"/>
    <col min="4365" max="4365" width="34.5" style="22" customWidth="1"/>
    <col min="4366" max="4366" width="35.5" style="22" customWidth="1"/>
    <col min="4367" max="4367" width="16.875" style="22" customWidth="1"/>
    <col min="4368" max="4368" width="19.875" style="22" customWidth="1"/>
    <col min="4369" max="4369" width="15.5" style="22" customWidth="1"/>
    <col min="4370" max="4608" width="8.75" style="22"/>
    <col min="4609" max="4609" width="3.375" style="22" customWidth="1"/>
    <col min="4610" max="4610" width="41.875" style="22" customWidth="1"/>
    <col min="4611" max="4611" width="6.375" style="22" customWidth="1"/>
    <col min="4612" max="4612" width="18.625" style="22" customWidth="1"/>
    <col min="4613" max="4613" width="25.375" style="22" customWidth="1"/>
    <col min="4614" max="4614" width="23.25" style="22" customWidth="1"/>
    <col min="4615" max="4615" width="20.625" style="22" customWidth="1"/>
    <col min="4616" max="4616" width="22" style="22" customWidth="1"/>
    <col min="4617" max="4617" width="20.5" style="22" customWidth="1"/>
    <col min="4618" max="4620" width="18.625" style="22" customWidth="1"/>
    <col min="4621" max="4621" width="34.5" style="22" customWidth="1"/>
    <col min="4622" max="4622" width="35.5" style="22" customWidth="1"/>
    <col min="4623" max="4623" width="16.875" style="22" customWidth="1"/>
    <col min="4624" max="4624" width="19.875" style="22" customWidth="1"/>
    <col min="4625" max="4625" width="15.5" style="22" customWidth="1"/>
    <col min="4626" max="4864" width="8.75" style="22"/>
    <col min="4865" max="4865" width="3.375" style="22" customWidth="1"/>
    <col min="4866" max="4866" width="41.875" style="22" customWidth="1"/>
    <col min="4867" max="4867" width="6.375" style="22" customWidth="1"/>
    <col min="4868" max="4868" width="18.625" style="22" customWidth="1"/>
    <col min="4869" max="4869" width="25.375" style="22" customWidth="1"/>
    <col min="4870" max="4870" width="23.25" style="22" customWidth="1"/>
    <col min="4871" max="4871" width="20.625" style="22" customWidth="1"/>
    <col min="4872" max="4872" width="22" style="22" customWidth="1"/>
    <col min="4873" max="4873" width="20.5" style="22" customWidth="1"/>
    <col min="4874" max="4876" width="18.625" style="22" customWidth="1"/>
    <col min="4877" max="4877" width="34.5" style="22" customWidth="1"/>
    <col min="4878" max="4878" width="35.5" style="22" customWidth="1"/>
    <col min="4879" max="4879" width="16.875" style="22" customWidth="1"/>
    <col min="4880" max="4880" width="19.875" style="22" customWidth="1"/>
    <col min="4881" max="4881" width="15.5" style="22" customWidth="1"/>
    <col min="4882" max="5120" width="8.75" style="22"/>
    <col min="5121" max="5121" width="3.375" style="22" customWidth="1"/>
    <col min="5122" max="5122" width="41.875" style="22" customWidth="1"/>
    <col min="5123" max="5123" width="6.375" style="22" customWidth="1"/>
    <col min="5124" max="5124" width="18.625" style="22" customWidth="1"/>
    <col min="5125" max="5125" width="25.375" style="22" customWidth="1"/>
    <col min="5126" max="5126" width="23.25" style="22" customWidth="1"/>
    <col min="5127" max="5127" width="20.625" style="22" customWidth="1"/>
    <col min="5128" max="5128" width="22" style="22" customWidth="1"/>
    <col min="5129" max="5129" width="20.5" style="22" customWidth="1"/>
    <col min="5130" max="5132" width="18.625" style="22" customWidth="1"/>
    <col min="5133" max="5133" width="34.5" style="22" customWidth="1"/>
    <col min="5134" max="5134" width="35.5" style="22" customWidth="1"/>
    <col min="5135" max="5135" width="16.875" style="22" customWidth="1"/>
    <col min="5136" max="5136" width="19.875" style="22" customWidth="1"/>
    <col min="5137" max="5137" width="15.5" style="22" customWidth="1"/>
    <col min="5138" max="5376" width="8.75" style="22"/>
    <col min="5377" max="5377" width="3.375" style="22" customWidth="1"/>
    <col min="5378" max="5378" width="41.875" style="22" customWidth="1"/>
    <col min="5379" max="5379" width="6.375" style="22" customWidth="1"/>
    <col min="5380" max="5380" width="18.625" style="22" customWidth="1"/>
    <col min="5381" max="5381" width="25.375" style="22" customWidth="1"/>
    <col min="5382" max="5382" width="23.25" style="22" customWidth="1"/>
    <col min="5383" max="5383" width="20.625" style="22" customWidth="1"/>
    <col min="5384" max="5384" width="22" style="22" customWidth="1"/>
    <col min="5385" max="5385" width="20.5" style="22" customWidth="1"/>
    <col min="5386" max="5388" width="18.625" style="22" customWidth="1"/>
    <col min="5389" max="5389" width="34.5" style="22" customWidth="1"/>
    <col min="5390" max="5390" width="35.5" style="22" customWidth="1"/>
    <col min="5391" max="5391" width="16.875" style="22" customWidth="1"/>
    <col min="5392" max="5392" width="19.875" style="22" customWidth="1"/>
    <col min="5393" max="5393" width="15.5" style="22" customWidth="1"/>
    <col min="5394" max="5632" width="8.75" style="22"/>
    <col min="5633" max="5633" width="3.375" style="22" customWidth="1"/>
    <col min="5634" max="5634" width="41.875" style="22" customWidth="1"/>
    <col min="5635" max="5635" width="6.375" style="22" customWidth="1"/>
    <col min="5636" max="5636" width="18.625" style="22" customWidth="1"/>
    <col min="5637" max="5637" width="25.375" style="22" customWidth="1"/>
    <col min="5638" max="5638" width="23.25" style="22" customWidth="1"/>
    <col min="5639" max="5639" width="20.625" style="22" customWidth="1"/>
    <col min="5640" max="5640" width="22" style="22" customWidth="1"/>
    <col min="5641" max="5641" width="20.5" style="22" customWidth="1"/>
    <col min="5642" max="5644" width="18.625" style="22" customWidth="1"/>
    <col min="5645" max="5645" width="34.5" style="22" customWidth="1"/>
    <col min="5646" max="5646" width="35.5" style="22" customWidth="1"/>
    <col min="5647" max="5647" width="16.875" style="22" customWidth="1"/>
    <col min="5648" max="5648" width="19.875" style="22" customWidth="1"/>
    <col min="5649" max="5649" width="15.5" style="22" customWidth="1"/>
    <col min="5650" max="5888" width="8.75" style="22"/>
    <col min="5889" max="5889" width="3.375" style="22" customWidth="1"/>
    <col min="5890" max="5890" width="41.875" style="22" customWidth="1"/>
    <col min="5891" max="5891" width="6.375" style="22" customWidth="1"/>
    <col min="5892" max="5892" width="18.625" style="22" customWidth="1"/>
    <col min="5893" max="5893" width="25.375" style="22" customWidth="1"/>
    <col min="5894" max="5894" width="23.25" style="22" customWidth="1"/>
    <col min="5895" max="5895" width="20.625" style="22" customWidth="1"/>
    <col min="5896" max="5896" width="22" style="22" customWidth="1"/>
    <col min="5897" max="5897" width="20.5" style="22" customWidth="1"/>
    <col min="5898" max="5900" width="18.625" style="22" customWidth="1"/>
    <col min="5901" max="5901" width="34.5" style="22" customWidth="1"/>
    <col min="5902" max="5902" width="35.5" style="22" customWidth="1"/>
    <col min="5903" max="5903" width="16.875" style="22" customWidth="1"/>
    <col min="5904" max="5904" width="19.875" style="22" customWidth="1"/>
    <col min="5905" max="5905" width="15.5" style="22" customWidth="1"/>
    <col min="5906" max="6144" width="8.75" style="22"/>
    <col min="6145" max="6145" width="3.375" style="22" customWidth="1"/>
    <col min="6146" max="6146" width="41.875" style="22" customWidth="1"/>
    <col min="6147" max="6147" width="6.375" style="22" customWidth="1"/>
    <col min="6148" max="6148" width="18.625" style="22" customWidth="1"/>
    <col min="6149" max="6149" width="25.375" style="22" customWidth="1"/>
    <col min="6150" max="6150" width="23.25" style="22" customWidth="1"/>
    <col min="6151" max="6151" width="20.625" style="22" customWidth="1"/>
    <col min="6152" max="6152" width="22" style="22" customWidth="1"/>
    <col min="6153" max="6153" width="20.5" style="22" customWidth="1"/>
    <col min="6154" max="6156" width="18.625" style="22" customWidth="1"/>
    <col min="6157" max="6157" width="34.5" style="22" customWidth="1"/>
    <col min="6158" max="6158" width="35.5" style="22" customWidth="1"/>
    <col min="6159" max="6159" width="16.875" style="22" customWidth="1"/>
    <col min="6160" max="6160" width="19.875" style="22" customWidth="1"/>
    <col min="6161" max="6161" width="15.5" style="22" customWidth="1"/>
    <col min="6162" max="6400" width="8.75" style="22"/>
    <col min="6401" max="6401" width="3.375" style="22" customWidth="1"/>
    <col min="6402" max="6402" width="41.875" style="22" customWidth="1"/>
    <col min="6403" max="6403" width="6.375" style="22" customWidth="1"/>
    <col min="6404" max="6404" width="18.625" style="22" customWidth="1"/>
    <col min="6405" max="6405" width="25.375" style="22" customWidth="1"/>
    <col min="6406" max="6406" width="23.25" style="22" customWidth="1"/>
    <col min="6407" max="6407" width="20.625" style="22" customWidth="1"/>
    <col min="6408" max="6408" width="22" style="22" customWidth="1"/>
    <col min="6409" max="6409" width="20.5" style="22" customWidth="1"/>
    <col min="6410" max="6412" width="18.625" style="22" customWidth="1"/>
    <col min="6413" max="6413" width="34.5" style="22" customWidth="1"/>
    <col min="6414" max="6414" width="35.5" style="22" customWidth="1"/>
    <col min="6415" max="6415" width="16.875" style="22" customWidth="1"/>
    <col min="6416" max="6416" width="19.875" style="22" customWidth="1"/>
    <col min="6417" max="6417" width="15.5" style="22" customWidth="1"/>
    <col min="6418" max="6656" width="8.75" style="22"/>
    <col min="6657" max="6657" width="3.375" style="22" customWidth="1"/>
    <col min="6658" max="6658" width="41.875" style="22" customWidth="1"/>
    <col min="6659" max="6659" width="6.375" style="22" customWidth="1"/>
    <col min="6660" max="6660" width="18.625" style="22" customWidth="1"/>
    <col min="6661" max="6661" width="25.375" style="22" customWidth="1"/>
    <col min="6662" max="6662" width="23.25" style="22" customWidth="1"/>
    <col min="6663" max="6663" width="20.625" style="22" customWidth="1"/>
    <col min="6664" max="6664" width="22" style="22" customWidth="1"/>
    <col min="6665" max="6665" width="20.5" style="22" customWidth="1"/>
    <col min="6666" max="6668" width="18.625" style="22" customWidth="1"/>
    <col min="6669" max="6669" width="34.5" style="22" customWidth="1"/>
    <col min="6670" max="6670" width="35.5" style="22" customWidth="1"/>
    <col min="6671" max="6671" width="16.875" style="22" customWidth="1"/>
    <col min="6672" max="6672" width="19.875" style="22" customWidth="1"/>
    <col min="6673" max="6673" width="15.5" style="22" customWidth="1"/>
    <col min="6674" max="6912" width="8.75" style="22"/>
    <col min="6913" max="6913" width="3.375" style="22" customWidth="1"/>
    <col min="6914" max="6914" width="41.875" style="22" customWidth="1"/>
    <col min="6915" max="6915" width="6.375" style="22" customWidth="1"/>
    <col min="6916" max="6916" width="18.625" style="22" customWidth="1"/>
    <col min="6917" max="6917" width="25.375" style="22" customWidth="1"/>
    <col min="6918" max="6918" width="23.25" style="22" customWidth="1"/>
    <col min="6919" max="6919" width="20.625" style="22" customWidth="1"/>
    <col min="6920" max="6920" width="22" style="22" customWidth="1"/>
    <col min="6921" max="6921" width="20.5" style="22" customWidth="1"/>
    <col min="6922" max="6924" width="18.625" style="22" customWidth="1"/>
    <col min="6925" max="6925" width="34.5" style="22" customWidth="1"/>
    <col min="6926" max="6926" width="35.5" style="22" customWidth="1"/>
    <col min="6927" max="6927" width="16.875" style="22" customWidth="1"/>
    <col min="6928" max="6928" width="19.875" style="22" customWidth="1"/>
    <col min="6929" max="6929" width="15.5" style="22" customWidth="1"/>
    <col min="6930" max="7168" width="8.75" style="22"/>
    <col min="7169" max="7169" width="3.375" style="22" customWidth="1"/>
    <col min="7170" max="7170" width="41.875" style="22" customWidth="1"/>
    <col min="7171" max="7171" width="6.375" style="22" customWidth="1"/>
    <col min="7172" max="7172" width="18.625" style="22" customWidth="1"/>
    <col min="7173" max="7173" width="25.375" style="22" customWidth="1"/>
    <col min="7174" max="7174" width="23.25" style="22" customWidth="1"/>
    <col min="7175" max="7175" width="20.625" style="22" customWidth="1"/>
    <col min="7176" max="7176" width="22" style="22" customWidth="1"/>
    <col min="7177" max="7177" width="20.5" style="22" customWidth="1"/>
    <col min="7178" max="7180" width="18.625" style="22" customWidth="1"/>
    <col min="7181" max="7181" width="34.5" style="22" customWidth="1"/>
    <col min="7182" max="7182" width="35.5" style="22" customWidth="1"/>
    <col min="7183" max="7183" width="16.875" style="22" customWidth="1"/>
    <col min="7184" max="7184" width="19.875" style="22" customWidth="1"/>
    <col min="7185" max="7185" width="15.5" style="22" customWidth="1"/>
    <col min="7186" max="7424" width="8.75" style="22"/>
    <col min="7425" max="7425" width="3.375" style="22" customWidth="1"/>
    <col min="7426" max="7426" width="41.875" style="22" customWidth="1"/>
    <col min="7427" max="7427" width="6.375" style="22" customWidth="1"/>
    <col min="7428" max="7428" width="18.625" style="22" customWidth="1"/>
    <col min="7429" max="7429" width="25.375" style="22" customWidth="1"/>
    <col min="7430" max="7430" width="23.25" style="22" customWidth="1"/>
    <col min="7431" max="7431" width="20.625" style="22" customWidth="1"/>
    <col min="7432" max="7432" width="22" style="22" customWidth="1"/>
    <col min="7433" max="7433" width="20.5" style="22" customWidth="1"/>
    <col min="7434" max="7436" width="18.625" style="22" customWidth="1"/>
    <col min="7437" max="7437" width="34.5" style="22" customWidth="1"/>
    <col min="7438" max="7438" width="35.5" style="22" customWidth="1"/>
    <col min="7439" max="7439" width="16.875" style="22" customWidth="1"/>
    <col min="7440" max="7440" width="19.875" style="22" customWidth="1"/>
    <col min="7441" max="7441" width="15.5" style="22" customWidth="1"/>
    <col min="7442" max="7680" width="8.75" style="22"/>
    <col min="7681" max="7681" width="3.375" style="22" customWidth="1"/>
    <col min="7682" max="7682" width="41.875" style="22" customWidth="1"/>
    <col min="7683" max="7683" width="6.375" style="22" customWidth="1"/>
    <col min="7684" max="7684" width="18.625" style="22" customWidth="1"/>
    <col min="7685" max="7685" width="25.375" style="22" customWidth="1"/>
    <col min="7686" max="7686" width="23.25" style="22" customWidth="1"/>
    <col min="7687" max="7687" width="20.625" style="22" customWidth="1"/>
    <col min="7688" max="7688" width="22" style="22" customWidth="1"/>
    <col min="7689" max="7689" width="20.5" style="22" customWidth="1"/>
    <col min="7690" max="7692" width="18.625" style="22" customWidth="1"/>
    <col min="7693" max="7693" width="34.5" style="22" customWidth="1"/>
    <col min="7694" max="7694" width="35.5" style="22" customWidth="1"/>
    <col min="7695" max="7695" width="16.875" style="22" customWidth="1"/>
    <col min="7696" max="7696" width="19.875" style="22" customWidth="1"/>
    <col min="7697" max="7697" width="15.5" style="22" customWidth="1"/>
    <col min="7698" max="7936" width="8.75" style="22"/>
    <col min="7937" max="7937" width="3.375" style="22" customWidth="1"/>
    <col min="7938" max="7938" width="41.875" style="22" customWidth="1"/>
    <col min="7939" max="7939" width="6.375" style="22" customWidth="1"/>
    <col min="7940" max="7940" width="18.625" style="22" customWidth="1"/>
    <col min="7941" max="7941" width="25.375" style="22" customWidth="1"/>
    <col min="7942" max="7942" width="23.25" style="22" customWidth="1"/>
    <col min="7943" max="7943" width="20.625" style="22" customWidth="1"/>
    <col min="7944" max="7944" width="22" style="22" customWidth="1"/>
    <col min="7945" max="7945" width="20.5" style="22" customWidth="1"/>
    <col min="7946" max="7948" width="18.625" style="22" customWidth="1"/>
    <col min="7949" max="7949" width="34.5" style="22" customWidth="1"/>
    <col min="7950" max="7950" width="35.5" style="22" customWidth="1"/>
    <col min="7951" max="7951" width="16.875" style="22" customWidth="1"/>
    <col min="7952" max="7952" width="19.875" style="22" customWidth="1"/>
    <col min="7953" max="7953" width="15.5" style="22" customWidth="1"/>
    <col min="7954" max="8192" width="8.75" style="22"/>
    <col min="8193" max="8193" width="3.375" style="22" customWidth="1"/>
    <col min="8194" max="8194" width="41.875" style="22" customWidth="1"/>
    <col min="8195" max="8195" width="6.375" style="22" customWidth="1"/>
    <col min="8196" max="8196" width="18.625" style="22" customWidth="1"/>
    <col min="8197" max="8197" width="25.375" style="22" customWidth="1"/>
    <col min="8198" max="8198" width="23.25" style="22" customWidth="1"/>
    <col min="8199" max="8199" width="20.625" style="22" customWidth="1"/>
    <col min="8200" max="8200" width="22" style="22" customWidth="1"/>
    <col min="8201" max="8201" width="20.5" style="22" customWidth="1"/>
    <col min="8202" max="8204" width="18.625" style="22" customWidth="1"/>
    <col min="8205" max="8205" width="34.5" style="22" customWidth="1"/>
    <col min="8206" max="8206" width="35.5" style="22" customWidth="1"/>
    <col min="8207" max="8207" width="16.875" style="22" customWidth="1"/>
    <col min="8208" max="8208" width="19.875" style="22" customWidth="1"/>
    <col min="8209" max="8209" width="15.5" style="22" customWidth="1"/>
    <col min="8210" max="8448" width="8.75" style="22"/>
    <col min="8449" max="8449" width="3.375" style="22" customWidth="1"/>
    <col min="8450" max="8450" width="41.875" style="22" customWidth="1"/>
    <col min="8451" max="8451" width="6.375" style="22" customWidth="1"/>
    <col min="8452" max="8452" width="18.625" style="22" customWidth="1"/>
    <col min="8453" max="8453" width="25.375" style="22" customWidth="1"/>
    <col min="8454" max="8454" width="23.25" style="22" customWidth="1"/>
    <col min="8455" max="8455" width="20.625" style="22" customWidth="1"/>
    <col min="8456" max="8456" width="22" style="22" customWidth="1"/>
    <col min="8457" max="8457" width="20.5" style="22" customWidth="1"/>
    <col min="8458" max="8460" width="18.625" style="22" customWidth="1"/>
    <col min="8461" max="8461" width="34.5" style="22" customWidth="1"/>
    <col min="8462" max="8462" width="35.5" style="22" customWidth="1"/>
    <col min="8463" max="8463" width="16.875" style="22" customWidth="1"/>
    <col min="8464" max="8464" width="19.875" style="22" customWidth="1"/>
    <col min="8465" max="8465" width="15.5" style="22" customWidth="1"/>
    <col min="8466" max="8704" width="8.75" style="22"/>
    <col min="8705" max="8705" width="3.375" style="22" customWidth="1"/>
    <col min="8706" max="8706" width="41.875" style="22" customWidth="1"/>
    <col min="8707" max="8707" width="6.375" style="22" customWidth="1"/>
    <col min="8708" max="8708" width="18.625" style="22" customWidth="1"/>
    <col min="8709" max="8709" width="25.375" style="22" customWidth="1"/>
    <col min="8710" max="8710" width="23.25" style="22" customWidth="1"/>
    <col min="8711" max="8711" width="20.625" style="22" customWidth="1"/>
    <col min="8712" max="8712" width="22" style="22" customWidth="1"/>
    <col min="8713" max="8713" width="20.5" style="22" customWidth="1"/>
    <col min="8714" max="8716" width="18.625" style="22" customWidth="1"/>
    <col min="8717" max="8717" width="34.5" style="22" customWidth="1"/>
    <col min="8718" max="8718" width="35.5" style="22" customWidth="1"/>
    <col min="8719" max="8719" width="16.875" style="22" customWidth="1"/>
    <col min="8720" max="8720" width="19.875" style="22" customWidth="1"/>
    <col min="8721" max="8721" width="15.5" style="22" customWidth="1"/>
    <col min="8722" max="8960" width="8.75" style="22"/>
    <col min="8961" max="8961" width="3.375" style="22" customWidth="1"/>
    <col min="8962" max="8962" width="41.875" style="22" customWidth="1"/>
    <col min="8963" max="8963" width="6.375" style="22" customWidth="1"/>
    <col min="8964" max="8964" width="18.625" style="22" customWidth="1"/>
    <col min="8965" max="8965" width="25.375" style="22" customWidth="1"/>
    <col min="8966" max="8966" width="23.25" style="22" customWidth="1"/>
    <col min="8967" max="8967" width="20.625" style="22" customWidth="1"/>
    <col min="8968" max="8968" width="22" style="22" customWidth="1"/>
    <col min="8969" max="8969" width="20.5" style="22" customWidth="1"/>
    <col min="8970" max="8972" width="18.625" style="22" customWidth="1"/>
    <col min="8973" max="8973" width="34.5" style="22" customWidth="1"/>
    <col min="8974" max="8974" width="35.5" style="22" customWidth="1"/>
    <col min="8975" max="8975" width="16.875" style="22" customWidth="1"/>
    <col min="8976" max="8976" width="19.875" style="22" customWidth="1"/>
    <col min="8977" max="8977" width="15.5" style="22" customWidth="1"/>
    <col min="8978" max="9216" width="8.75" style="22"/>
    <col min="9217" max="9217" width="3.375" style="22" customWidth="1"/>
    <col min="9218" max="9218" width="41.875" style="22" customWidth="1"/>
    <col min="9219" max="9219" width="6.375" style="22" customWidth="1"/>
    <col min="9220" max="9220" width="18.625" style="22" customWidth="1"/>
    <col min="9221" max="9221" width="25.375" style="22" customWidth="1"/>
    <col min="9222" max="9222" width="23.25" style="22" customWidth="1"/>
    <col min="9223" max="9223" width="20.625" style="22" customWidth="1"/>
    <col min="9224" max="9224" width="22" style="22" customWidth="1"/>
    <col min="9225" max="9225" width="20.5" style="22" customWidth="1"/>
    <col min="9226" max="9228" width="18.625" style="22" customWidth="1"/>
    <col min="9229" max="9229" width="34.5" style="22" customWidth="1"/>
    <col min="9230" max="9230" width="35.5" style="22" customWidth="1"/>
    <col min="9231" max="9231" width="16.875" style="22" customWidth="1"/>
    <col min="9232" max="9232" width="19.875" style="22" customWidth="1"/>
    <col min="9233" max="9233" width="15.5" style="22" customWidth="1"/>
    <col min="9234" max="9472" width="8.75" style="22"/>
    <col min="9473" max="9473" width="3.375" style="22" customWidth="1"/>
    <col min="9474" max="9474" width="41.875" style="22" customWidth="1"/>
    <col min="9475" max="9475" width="6.375" style="22" customWidth="1"/>
    <col min="9476" max="9476" width="18.625" style="22" customWidth="1"/>
    <col min="9477" max="9477" width="25.375" style="22" customWidth="1"/>
    <col min="9478" max="9478" width="23.25" style="22" customWidth="1"/>
    <col min="9479" max="9479" width="20.625" style="22" customWidth="1"/>
    <col min="9480" max="9480" width="22" style="22" customWidth="1"/>
    <col min="9481" max="9481" width="20.5" style="22" customWidth="1"/>
    <col min="9482" max="9484" width="18.625" style="22" customWidth="1"/>
    <col min="9485" max="9485" width="34.5" style="22" customWidth="1"/>
    <col min="9486" max="9486" width="35.5" style="22" customWidth="1"/>
    <col min="9487" max="9487" width="16.875" style="22" customWidth="1"/>
    <col min="9488" max="9488" width="19.875" style="22" customWidth="1"/>
    <col min="9489" max="9489" width="15.5" style="22" customWidth="1"/>
    <col min="9490" max="9728" width="8.75" style="22"/>
    <col min="9729" max="9729" width="3.375" style="22" customWidth="1"/>
    <col min="9730" max="9730" width="41.875" style="22" customWidth="1"/>
    <col min="9731" max="9731" width="6.375" style="22" customWidth="1"/>
    <col min="9732" max="9732" width="18.625" style="22" customWidth="1"/>
    <col min="9733" max="9733" width="25.375" style="22" customWidth="1"/>
    <col min="9734" max="9734" width="23.25" style="22" customWidth="1"/>
    <col min="9735" max="9735" width="20.625" style="22" customWidth="1"/>
    <col min="9736" max="9736" width="22" style="22" customWidth="1"/>
    <col min="9737" max="9737" width="20.5" style="22" customWidth="1"/>
    <col min="9738" max="9740" width="18.625" style="22" customWidth="1"/>
    <col min="9741" max="9741" width="34.5" style="22" customWidth="1"/>
    <col min="9742" max="9742" width="35.5" style="22" customWidth="1"/>
    <col min="9743" max="9743" width="16.875" style="22" customWidth="1"/>
    <col min="9744" max="9744" width="19.875" style="22" customWidth="1"/>
    <col min="9745" max="9745" width="15.5" style="22" customWidth="1"/>
    <col min="9746" max="9984" width="8.75" style="22"/>
    <col min="9985" max="9985" width="3.375" style="22" customWidth="1"/>
    <col min="9986" max="9986" width="41.875" style="22" customWidth="1"/>
    <col min="9987" max="9987" width="6.375" style="22" customWidth="1"/>
    <col min="9988" max="9988" width="18.625" style="22" customWidth="1"/>
    <col min="9989" max="9989" width="25.375" style="22" customWidth="1"/>
    <col min="9990" max="9990" width="23.25" style="22" customWidth="1"/>
    <col min="9991" max="9991" width="20.625" style="22" customWidth="1"/>
    <col min="9992" max="9992" width="22" style="22" customWidth="1"/>
    <col min="9993" max="9993" width="20.5" style="22" customWidth="1"/>
    <col min="9994" max="9996" width="18.625" style="22" customWidth="1"/>
    <col min="9997" max="9997" width="34.5" style="22" customWidth="1"/>
    <col min="9998" max="9998" width="35.5" style="22" customWidth="1"/>
    <col min="9999" max="9999" width="16.875" style="22" customWidth="1"/>
    <col min="10000" max="10000" width="19.875" style="22" customWidth="1"/>
    <col min="10001" max="10001" width="15.5" style="22" customWidth="1"/>
    <col min="10002" max="10240" width="8.75" style="22"/>
    <col min="10241" max="10241" width="3.375" style="22" customWidth="1"/>
    <col min="10242" max="10242" width="41.875" style="22" customWidth="1"/>
    <col min="10243" max="10243" width="6.375" style="22" customWidth="1"/>
    <col min="10244" max="10244" width="18.625" style="22" customWidth="1"/>
    <col min="10245" max="10245" width="25.375" style="22" customWidth="1"/>
    <col min="10246" max="10246" width="23.25" style="22" customWidth="1"/>
    <col min="10247" max="10247" width="20.625" style="22" customWidth="1"/>
    <col min="10248" max="10248" width="22" style="22" customWidth="1"/>
    <col min="10249" max="10249" width="20.5" style="22" customWidth="1"/>
    <col min="10250" max="10252" width="18.625" style="22" customWidth="1"/>
    <col min="10253" max="10253" width="34.5" style="22" customWidth="1"/>
    <col min="10254" max="10254" width="35.5" style="22" customWidth="1"/>
    <col min="10255" max="10255" width="16.875" style="22" customWidth="1"/>
    <col min="10256" max="10256" width="19.875" style="22" customWidth="1"/>
    <col min="10257" max="10257" width="15.5" style="22" customWidth="1"/>
    <col min="10258" max="10496" width="8.75" style="22"/>
    <col min="10497" max="10497" width="3.375" style="22" customWidth="1"/>
    <col min="10498" max="10498" width="41.875" style="22" customWidth="1"/>
    <col min="10499" max="10499" width="6.375" style="22" customWidth="1"/>
    <col min="10500" max="10500" width="18.625" style="22" customWidth="1"/>
    <col min="10501" max="10501" width="25.375" style="22" customWidth="1"/>
    <col min="10502" max="10502" width="23.25" style="22" customWidth="1"/>
    <col min="10503" max="10503" width="20.625" style="22" customWidth="1"/>
    <col min="10504" max="10504" width="22" style="22" customWidth="1"/>
    <col min="10505" max="10505" width="20.5" style="22" customWidth="1"/>
    <col min="10506" max="10508" width="18.625" style="22" customWidth="1"/>
    <col min="10509" max="10509" width="34.5" style="22" customWidth="1"/>
    <col min="10510" max="10510" width="35.5" style="22" customWidth="1"/>
    <col min="10511" max="10511" width="16.875" style="22" customWidth="1"/>
    <col min="10512" max="10512" width="19.875" style="22" customWidth="1"/>
    <col min="10513" max="10513" width="15.5" style="22" customWidth="1"/>
    <col min="10514" max="10752" width="8.75" style="22"/>
    <col min="10753" max="10753" width="3.375" style="22" customWidth="1"/>
    <col min="10754" max="10754" width="41.875" style="22" customWidth="1"/>
    <col min="10755" max="10755" width="6.375" style="22" customWidth="1"/>
    <col min="10756" max="10756" width="18.625" style="22" customWidth="1"/>
    <col min="10757" max="10757" width="25.375" style="22" customWidth="1"/>
    <col min="10758" max="10758" width="23.25" style="22" customWidth="1"/>
    <col min="10759" max="10759" width="20.625" style="22" customWidth="1"/>
    <col min="10760" max="10760" width="22" style="22" customWidth="1"/>
    <col min="10761" max="10761" width="20.5" style="22" customWidth="1"/>
    <col min="10762" max="10764" width="18.625" style="22" customWidth="1"/>
    <col min="10765" max="10765" width="34.5" style="22" customWidth="1"/>
    <col min="10766" max="10766" width="35.5" style="22" customWidth="1"/>
    <col min="10767" max="10767" width="16.875" style="22" customWidth="1"/>
    <col min="10768" max="10768" width="19.875" style="22" customWidth="1"/>
    <col min="10769" max="10769" width="15.5" style="22" customWidth="1"/>
    <col min="10770" max="11008" width="8.75" style="22"/>
    <col min="11009" max="11009" width="3.375" style="22" customWidth="1"/>
    <col min="11010" max="11010" width="41.875" style="22" customWidth="1"/>
    <col min="11011" max="11011" width="6.375" style="22" customWidth="1"/>
    <col min="11012" max="11012" width="18.625" style="22" customWidth="1"/>
    <col min="11013" max="11013" width="25.375" style="22" customWidth="1"/>
    <col min="11014" max="11014" width="23.25" style="22" customWidth="1"/>
    <col min="11015" max="11015" width="20.625" style="22" customWidth="1"/>
    <col min="11016" max="11016" width="22" style="22" customWidth="1"/>
    <col min="11017" max="11017" width="20.5" style="22" customWidth="1"/>
    <col min="11018" max="11020" width="18.625" style="22" customWidth="1"/>
    <col min="11021" max="11021" width="34.5" style="22" customWidth="1"/>
    <col min="11022" max="11022" width="35.5" style="22" customWidth="1"/>
    <col min="11023" max="11023" width="16.875" style="22" customWidth="1"/>
    <col min="11024" max="11024" width="19.875" style="22" customWidth="1"/>
    <col min="11025" max="11025" width="15.5" style="22" customWidth="1"/>
    <col min="11026" max="11264" width="8.75" style="22"/>
    <col min="11265" max="11265" width="3.375" style="22" customWidth="1"/>
    <col min="11266" max="11266" width="41.875" style="22" customWidth="1"/>
    <col min="11267" max="11267" width="6.375" style="22" customWidth="1"/>
    <col min="11268" max="11268" width="18.625" style="22" customWidth="1"/>
    <col min="11269" max="11269" width="25.375" style="22" customWidth="1"/>
    <col min="11270" max="11270" width="23.25" style="22" customWidth="1"/>
    <col min="11271" max="11271" width="20.625" style="22" customWidth="1"/>
    <col min="11272" max="11272" width="22" style="22" customWidth="1"/>
    <col min="11273" max="11273" width="20.5" style="22" customWidth="1"/>
    <col min="11274" max="11276" width="18.625" style="22" customWidth="1"/>
    <col min="11277" max="11277" width="34.5" style="22" customWidth="1"/>
    <col min="11278" max="11278" width="35.5" style="22" customWidth="1"/>
    <col min="11279" max="11279" width="16.875" style="22" customWidth="1"/>
    <col min="11280" max="11280" width="19.875" style="22" customWidth="1"/>
    <col min="11281" max="11281" width="15.5" style="22" customWidth="1"/>
    <col min="11282" max="11520" width="8.75" style="22"/>
    <col min="11521" max="11521" width="3.375" style="22" customWidth="1"/>
    <col min="11522" max="11522" width="41.875" style="22" customWidth="1"/>
    <col min="11523" max="11523" width="6.375" style="22" customWidth="1"/>
    <col min="11524" max="11524" width="18.625" style="22" customWidth="1"/>
    <col min="11525" max="11525" width="25.375" style="22" customWidth="1"/>
    <col min="11526" max="11526" width="23.25" style="22" customWidth="1"/>
    <col min="11527" max="11527" width="20.625" style="22" customWidth="1"/>
    <col min="11528" max="11528" width="22" style="22" customWidth="1"/>
    <col min="11529" max="11529" width="20.5" style="22" customWidth="1"/>
    <col min="11530" max="11532" width="18.625" style="22" customWidth="1"/>
    <col min="11533" max="11533" width="34.5" style="22" customWidth="1"/>
    <col min="11534" max="11534" width="35.5" style="22" customWidth="1"/>
    <col min="11535" max="11535" width="16.875" style="22" customWidth="1"/>
    <col min="11536" max="11536" width="19.875" style="22" customWidth="1"/>
    <col min="11537" max="11537" width="15.5" style="22" customWidth="1"/>
    <col min="11538" max="11776" width="8.75" style="22"/>
    <col min="11777" max="11777" width="3.375" style="22" customWidth="1"/>
    <col min="11778" max="11778" width="41.875" style="22" customWidth="1"/>
    <col min="11779" max="11779" width="6.375" style="22" customWidth="1"/>
    <col min="11780" max="11780" width="18.625" style="22" customWidth="1"/>
    <col min="11781" max="11781" width="25.375" style="22" customWidth="1"/>
    <col min="11782" max="11782" width="23.25" style="22" customWidth="1"/>
    <col min="11783" max="11783" width="20.625" style="22" customWidth="1"/>
    <col min="11784" max="11784" width="22" style="22" customWidth="1"/>
    <col min="11785" max="11785" width="20.5" style="22" customWidth="1"/>
    <col min="11786" max="11788" width="18.625" style="22" customWidth="1"/>
    <col min="11789" max="11789" width="34.5" style="22" customWidth="1"/>
    <col min="11790" max="11790" width="35.5" style="22" customWidth="1"/>
    <col min="11791" max="11791" width="16.875" style="22" customWidth="1"/>
    <col min="11792" max="11792" width="19.875" style="22" customWidth="1"/>
    <col min="11793" max="11793" width="15.5" style="22" customWidth="1"/>
    <col min="11794" max="12032" width="8.75" style="22"/>
    <col min="12033" max="12033" width="3.375" style="22" customWidth="1"/>
    <col min="12034" max="12034" width="41.875" style="22" customWidth="1"/>
    <col min="12035" max="12035" width="6.375" style="22" customWidth="1"/>
    <col min="12036" max="12036" width="18.625" style="22" customWidth="1"/>
    <col min="12037" max="12037" width="25.375" style="22" customWidth="1"/>
    <col min="12038" max="12038" width="23.25" style="22" customWidth="1"/>
    <col min="12039" max="12039" width="20.625" style="22" customWidth="1"/>
    <col min="12040" max="12040" width="22" style="22" customWidth="1"/>
    <col min="12041" max="12041" width="20.5" style="22" customWidth="1"/>
    <col min="12042" max="12044" width="18.625" style="22" customWidth="1"/>
    <col min="12045" max="12045" width="34.5" style="22" customWidth="1"/>
    <col min="12046" max="12046" width="35.5" style="22" customWidth="1"/>
    <col min="12047" max="12047" width="16.875" style="22" customWidth="1"/>
    <col min="12048" max="12048" width="19.875" style="22" customWidth="1"/>
    <col min="12049" max="12049" width="15.5" style="22" customWidth="1"/>
    <col min="12050" max="12288" width="8.75" style="22"/>
    <col min="12289" max="12289" width="3.375" style="22" customWidth="1"/>
    <col min="12290" max="12290" width="41.875" style="22" customWidth="1"/>
    <col min="12291" max="12291" width="6.375" style="22" customWidth="1"/>
    <col min="12292" max="12292" width="18.625" style="22" customWidth="1"/>
    <col min="12293" max="12293" width="25.375" style="22" customWidth="1"/>
    <col min="12294" max="12294" width="23.25" style="22" customWidth="1"/>
    <col min="12295" max="12295" width="20.625" style="22" customWidth="1"/>
    <col min="12296" max="12296" width="22" style="22" customWidth="1"/>
    <col min="12297" max="12297" width="20.5" style="22" customWidth="1"/>
    <col min="12298" max="12300" width="18.625" style="22" customWidth="1"/>
    <col min="12301" max="12301" width="34.5" style="22" customWidth="1"/>
    <col min="12302" max="12302" width="35.5" style="22" customWidth="1"/>
    <col min="12303" max="12303" width="16.875" style="22" customWidth="1"/>
    <col min="12304" max="12304" width="19.875" style="22" customWidth="1"/>
    <col min="12305" max="12305" width="15.5" style="22" customWidth="1"/>
    <col min="12306" max="12544" width="8.75" style="22"/>
    <col min="12545" max="12545" width="3.375" style="22" customWidth="1"/>
    <col min="12546" max="12546" width="41.875" style="22" customWidth="1"/>
    <col min="12547" max="12547" width="6.375" style="22" customWidth="1"/>
    <col min="12548" max="12548" width="18.625" style="22" customWidth="1"/>
    <col min="12549" max="12549" width="25.375" style="22" customWidth="1"/>
    <col min="12550" max="12550" width="23.25" style="22" customWidth="1"/>
    <col min="12551" max="12551" width="20.625" style="22" customWidth="1"/>
    <col min="12552" max="12552" width="22" style="22" customWidth="1"/>
    <col min="12553" max="12553" width="20.5" style="22" customWidth="1"/>
    <col min="12554" max="12556" width="18.625" style="22" customWidth="1"/>
    <col min="12557" max="12557" width="34.5" style="22" customWidth="1"/>
    <col min="12558" max="12558" width="35.5" style="22" customWidth="1"/>
    <col min="12559" max="12559" width="16.875" style="22" customWidth="1"/>
    <col min="12560" max="12560" width="19.875" style="22" customWidth="1"/>
    <col min="12561" max="12561" width="15.5" style="22" customWidth="1"/>
    <col min="12562" max="12800" width="8.75" style="22"/>
    <col min="12801" max="12801" width="3.375" style="22" customWidth="1"/>
    <col min="12802" max="12802" width="41.875" style="22" customWidth="1"/>
    <col min="12803" max="12803" width="6.375" style="22" customWidth="1"/>
    <col min="12804" max="12804" width="18.625" style="22" customWidth="1"/>
    <col min="12805" max="12805" width="25.375" style="22" customWidth="1"/>
    <col min="12806" max="12806" width="23.25" style="22" customWidth="1"/>
    <col min="12807" max="12807" width="20.625" style="22" customWidth="1"/>
    <col min="12808" max="12808" width="22" style="22" customWidth="1"/>
    <col min="12809" max="12809" width="20.5" style="22" customWidth="1"/>
    <col min="12810" max="12812" width="18.625" style="22" customWidth="1"/>
    <col min="12813" max="12813" width="34.5" style="22" customWidth="1"/>
    <col min="12814" max="12814" width="35.5" style="22" customWidth="1"/>
    <col min="12815" max="12815" width="16.875" style="22" customWidth="1"/>
    <col min="12816" max="12816" width="19.875" style="22" customWidth="1"/>
    <col min="12817" max="12817" width="15.5" style="22" customWidth="1"/>
    <col min="12818" max="13056" width="8.75" style="22"/>
    <col min="13057" max="13057" width="3.375" style="22" customWidth="1"/>
    <col min="13058" max="13058" width="41.875" style="22" customWidth="1"/>
    <col min="13059" max="13059" width="6.375" style="22" customWidth="1"/>
    <col min="13060" max="13060" width="18.625" style="22" customWidth="1"/>
    <col min="13061" max="13061" width="25.375" style="22" customWidth="1"/>
    <col min="13062" max="13062" width="23.25" style="22" customWidth="1"/>
    <col min="13063" max="13063" width="20.625" style="22" customWidth="1"/>
    <col min="13064" max="13064" width="22" style="22" customWidth="1"/>
    <col min="13065" max="13065" width="20.5" style="22" customWidth="1"/>
    <col min="13066" max="13068" width="18.625" style="22" customWidth="1"/>
    <col min="13069" max="13069" width="34.5" style="22" customWidth="1"/>
    <col min="13070" max="13070" width="35.5" style="22" customWidth="1"/>
    <col min="13071" max="13071" width="16.875" style="22" customWidth="1"/>
    <col min="13072" max="13072" width="19.875" style="22" customWidth="1"/>
    <col min="13073" max="13073" width="15.5" style="22" customWidth="1"/>
    <col min="13074" max="13312" width="8.75" style="22"/>
    <col min="13313" max="13313" width="3.375" style="22" customWidth="1"/>
    <col min="13314" max="13314" width="41.875" style="22" customWidth="1"/>
    <col min="13315" max="13315" width="6.375" style="22" customWidth="1"/>
    <col min="13316" max="13316" width="18.625" style="22" customWidth="1"/>
    <col min="13317" max="13317" width="25.375" style="22" customWidth="1"/>
    <col min="13318" max="13318" width="23.25" style="22" customWidth="1"/>
    <col min="13319" max="13319" width="20.625" style="22" customWidth="1"/>
    <col min="13320" max="13320" width="22" style="22" customWidth="1"/>
    <col min="13321" max="13321" width="20.5" style="22" customWidth="1"/>
    <col min="13322" max="13324" width="18.625" style="22" customWidth="1"/>
    <col min="13325" max="13325" width="34.5" style="22" customWidth="1"/>
    <col min="13326" max="13326" width="35.5" style="22" customWidth="1"/>
    <col min="13327" max="13327" width="16.875" style="22" customWidth="1"/>
    <col min="13328" max="13328" width="19.875" style="22" customWidth="1"/>
    <col min="13329" max="13329" width="15.5" style="22" customWidth="1"/>
    <col min="13330" max="13568" width="8.75" style="22"/>
    <col min="13569" max="13569" width="3.375" style="22" customWidth="1"/>
    <col min="13570" max="13570" width="41.875" style="22" customWidth="1"/>
    <col min="13571" max="13571" width="6.375" style="22" customWidth="1"/>
    <col min="13572" max="13572" width="18.625" style="22" customWidth="1"/>
    <col min="13573" max="13573" width="25.375" style="22" customWidth="1"/>
    <col min="13574" max="13574" width="23.25" style="22" customWidth="1"/>
    <col min="13575" max="13575" width="20.625" style="22" customWidth="1"/>
    <col min="13576" max="13576" width="22" style="22" customWidth="1"/>
    <col min="13577" max="13577" width="20.5" style="22" customWidth="1"/>
    <col min="13578" max="13580" width="18.625" style="22" customWidth="1"/>
    <col min="13581" max="13581" width="34.5" style="22" customWidth="1"/>
    <col min="13582" max="13582" width="35.5" style="22" customWidth="1"/>
    <col min="13583" max="13583" width="16.875" style="22" customWidth="1"/>
    <col min="13584" max="13584" width="19.875" style="22" customWidth="1"/>
    <col min="13585" max="13585" width="15.5" style="22" customWidth="1"/>
    <col min="13586" max="13824" width="8.75" style="22"/>
    <col min="13825" max="13825" width="3.375" style="22" customWidth="1"/>
    <col min="13826" max="13826" width="41.875" style="22" customWidth="1"/>
    <col min="13827" max="13827" width="6.375" style="22" customWidth="1"/>
    <col min="13828" max="13828" width="18.625" style="22" customWidth="1"/>
    <col min="13829" max="13829" width="25.375" style="22" customWidth="1"/>
    <col min="13830" max="13830" width="23.25" style="22" customWidth="1"/>
    <col min="13831" max="13831" width="20.625" style="22" customWidth="1"/>
    <col min="13832" max="13832" width="22" style="22" customWidth="1"/>
    <col min="13833" max="13833" width="20.5" style="22" customWidth="1"/>
    <col min="13834" max="13836" width="18.625" style="22" customWidth="1"/>
    <col min="13837" max="13837" width="34.5" style="22" customWidth="1"/>
    <col min="13838" max="13838" width="35.5" style="22" customWidth="1"/>
    <col min="13839" max="13839" width="16.875" style="22" customWidth="1"/>
    <col min="13840" max="13840" width="19.875" style="22" customWidth="1"/>
    <col min="13841" max="13841" width="15.5" style="22" customWidth="1"/>
    <col min="13842" max="14080" width="8.75" style="22"/>
    <col min="14081" max="14081" width="3.375" style="22" customWidth="1"/>
    <col min="14082" max="14082" width="41.875" style="22" customWidth="1"/>
    <col min="14083" max="14083" width="6.375" style="22" customWidth="1"/>
    <col min="14084" max="14084" width="18.625" style="22" customWidth="1"/>
    <col min="14085" max="14085" width="25.375" style="22" customWidth="1"/>
    <col min="14086" max="14086" width="23.25" style="22" customWidth="1"/>
    <col min="14087" max="14087" width="20.625" style="22" customWidth="1"/>
    <col min="14088" max="14088" width="22" style="22" customWidth="1"/>
    <col min="14089" max="14089" width="20.5" style="22" customWidth="1"/>
    <col min="14090" max="14092" width="18.625" style="22" customWidth="1"/>
    <col min="14093" max="14093" width="34.5" style="22" customWidth="1"/>
    <col min="14094" max="14094" width="35.5" style="22" customWidth="1"/>
    <col min="14095" max="14095" width="16.875" style="22" customWidth="1"/>
    <col min="14096" max="14096" width="19.875" style="22" customWidth="1"/>
    <col min="14097" max="14097" width="15.5" style="22" customWidth="1"/>
    <col min="14098" max="14336" width="8.75" style="22"/>
    <col min="14337" max="14337" width="3.375" style="22" customWidth="1"/>
    <col min="14338" max="14338" width="41.875" style="22" customWidth="1"/>
    <col min="14339" max="14339" width="6.375" style="22" customWidth="1"/>
    <col min="14340" max="14340" width="18.625" style="22" customWidth="1"/>
    <col min="14341" max="14341" width="25.375" style="22" customWidth="1"/>
    <col min="14342" max="14342" width="23.25" style="22" customWidth="1"/>
    <col min="14343" max="14343" width="20.625" style="22" customWidth="1"/>
    <col min="14344" max="14344" width="22" style="22" customWidth="1"/>
    <col min="14345" max="14345" width="20.5" style="22" customWidth="1"/>
    <col min="14346" max="14348" width="18.625" style="22" customWidth="1"/>
    <col min="14349" max="14349" width="34.5" style="22" customWidth="1"/>
    <col min="14350" max="14350" width="35.5" style="22" customWidth="1"/>
    <col min="14351" max="14351" width="16.875" style="22" customWidth="1"/>
    <col min="14352" max="14352" width="19.875" style="22" customWidth="1"/>
    <col min="14353" max="14353" width="15.5" style="22" customWidth="1"/>
    <col min="14354" max="14592" width="8.75" style="22"/>
    <col min="14593" max="14593" width="3.375" style="22" customWidth="1"/>
    <col min="14594" max="14594" width="41.875" style="22" customWidth="1"/>
    <col min="14595" max="14595" width="6.375" style="22" customWidth="1"/>
    <col min="14596" max="14596" width="18.625" style="22" customWidth="1"/>
    <col min="14597" max="14597" width="25.375" style="22" customWidth="1"/>
    <col min="14598" max="14598" width="23.25" style="22" customWidth="1"/>
    <col min="14599" max="14599" width="20.625" style="22" customWidth="1"/>
    <col min="14600" max="14600" width="22" style="22" customWidth="1"/>
    <col min="14601" max="14601" width="20.5" style="22" customWidth="1"/>
    <col min="14602" max="14604" width="18.625" style="22" customWidth="1"/>
    <col min="14605" max="14605" width="34.5" style="22" customWidth="1"/>
    <col min="14606" max="14606" width="35.5" style="22" customWidth="1"/>
    <col min="14607" max="14607" width="16.875" style="22" customWidth="1"/>
    <col min="14608" max="14608" width="19.875" style="22" customWidth="1"/>
    <col min="14609" max="14609" width="15.5" style="22" customWidth="1"/>
    <col min="14610" max="14848" width="8.75" style="22"/>
    <col min="14849" max="14849" width="3.375" style="22" customWidth="1"/>
    <col min="14850" max="14850" width="41.875" style="22" customWidth="1"/>
    <col min="14851" max="14851" width="6.375" style="22" customWidth="1"/>
    <col min="14852" max="14852" width="18.625" style="22" customWidth="1"/>
    <col min="14853" max="14853" width="25.375" style="22" customWidth="1"/>
    <col min="14854" max="14854" width="23.25" style="22" customWidth="1"/>
    <col min="14855" max="14855" width="20.625" style="22" customWidth="1"/>
    <col min="14856" max="14856" width="22" style="22" customWidth="1"/>
    <col min="14857" max="14857" width="20.5" style="22" customWidth="1"/>
    <col min="14858" max="14860" width="18.625" style="22" customWidth="1"/>
    <col min="14861" max="14861" width="34.5" style="22" customWidth="1"/>
    <col min="14862" max="14862" width="35.5" style="22" customWidth="1"/>
    <col min="14863" max="14863" width="16.875" style="22" customWidth="1"/>
    <col min="14864" max="14864" width="19.875" style="22" customWidth="1"/>
    <col min="14865" max="14865" width="15.5" style="22" customWidth="1"/>
    <col min="14866" max="15104" width="8.75" style="22"/>
    <col min="15105" max="15105" width="3.375" style="22" customWidth="1"/>
    <col min="15106" max="15106" width="41.875" style="22" customWidth="1"/>
    <col min="15107" max="15107" width="6.375" style="22" customWidth="1"/>
    <col min="15108" max="15108" width="18.625" style="22" customWidth="1"/>
    <col min="15109" max="15109" width="25.375" style="22" customWidth="1"/>
    <col min="15110" max="15110" width="23.25" style="22" customWidth="1"/>
    <col min="15111" max="15111" width="20.625" style="22" customWidth="1"/>
    <col min="15112" max="15112" width="22" style="22" customWidth="1"/>
    <col min="15113" max="15113" width="20.5" style="22" customWidth="1"/>
    <col min="15114" max="15116" width="18.625" style="22" customWidth="1"/>
    <col min="15117" max="15117" width="34.5" style="22" customWidth="1"/>
    <col min="15118" max="15118" width="35.5" style="22" customWidth="1"/>
    <col min="15119" max="15119" width="16.875" style="22" customWidth="1"/>
    <col min="15120" max="15120" width="19.875" style="22" customWidth="1"/>
    <col min="15121" max="15121" width="15.5" style="22" customWidth="1"/>
    <col min="15122" max="15360" width="8.75" style="22"/>
    <col min="15361" max="15361" width="3.375" style="22" customWidth="1"/>
    <col min="15362" max="15362" width="41.875" style="22" customWidth="1"/>
    <col min="15363" max="15363" width="6.375" style="22" customWidth="1"/>
    <col min="15364" max="15364" width="18.625" style="22" customWidth="1"/>
    <col min="15365" max="15365" width="25.375" style="22" customWidth="1"/>
    <col min="15366" max="15366" width="23.25" style="22" customWidth="1"/>
    <col min="15367" max="15367" width="20.625" style="22" customWidth="1"/>
    <col min="15368" max="15368" width="22" style="22" customWidth="1"/>
    <col min="15369" max="15369" width="20.5" style="22" customWidth="1"/>
    <col min="15370" max="15372" width="18.625" style="22" customWidth="1"/>
    <col min="15373" max="15373" width="34.5" style="22" customWidth="1"/>
    <col min="15374" max="15374" width="35.5" style="22" customWidth="1"/>
    <col min="15375" max="15375" width="16.875" style="22" customWidth="1"/>
    <col min="15376" max="15376" width="19.875" style="22" customWidth="1"/>
    <col min="15377" max="15377" width="15.5" style="22" customWidth="1"/>
    <col min="15378" max="15616" width="8.75" style="22"/>
    <col min="15617" max="15617" width="3.375" style="22" customWidth="1"/>
    <col min="15618" max="15618" width="41.875" style="22" customWidth="1"/>
    <col min="15619" max="15619" width="6.375" style="22" customWidth="1"/>
    <col min="15620" max="15620" width="18.625" style="22" customWidth="1"/>
    <col min="15621" max="15621" width="25.375" style="22" customWidth="1"/>
    <col min="15622" max="15622" width="23.25" style="22" customWidth="1"/>
    <col min="15623" max="15623" width="20.625" style="22" customWidth="1"/>
    <col min="15624" max="15624" width="22" style="22" customWidth="1"/>
    <col min="15625" max="15625" width="20.5" style="22" customWidth="1"/>
    <col min="15626" max="15628" width="18.625" style="22" customWidth="1"/>
    <col min="15629" max="15629" width="34.5" style="22" customWidth="1"/>
    <col min="15630" max="15630" width="35.5" style="22" customWidth="1"/>
    <col min="15631" max="15631" width="16.875" style="22" customWidth="1"/>
    <col min="15632" max="15632" width="19.875" style="22" customWidth="1"/>
    <col min="15633" max="15633" width="15.5" style="22" customWidth="1"/>
    <col min="15634" max="15872" width="8.75" style="22"/>
    <col min="15873" max="15873" width="3.375" style="22" customWidth="1"/>
    <col min="15874" max="15874" width="41.875" style="22" customWidth="1"/>
    <col min="15875" max="15875" width="6.375" style="22" customWidth="1"/>
    <col min="15876" max="15876" width="18.625" style="22" customWidth="1"/>
    <col min="15877" max="15877" width="25.375" style="22" customWidth="1"/>
    <col min="15878" max="15878" width="23.25" style="22" customWidth="1"/>
    <col min="15879" max="15879" width="20.625" style="22" customWidth="1"/>
    <col min="15880" max="15880" width="22" style="22" customWidth="1"/>
    <col min="15881" max="15881" width="20.5" style="22" customWidth="1"/>
    <col min="15882" max="15884" width="18.625" style="22" customWidth="1"/>
    <col min="15885" max="15885" width="34.5" style="22" customWidth="1"/>
    <col min="15886" max="15886" width="35.5" style="22" customWidth="1"/>
    <col min="15887" max="15887" width="16.875" style="22" customWidth="1"/>
    <col min="15888" max="15888" width="19.875" style="22" customWidth="1"/>
    <col min="15889" max="15889" width="15.5" style="22" customWidth="1"/>
    <col min="15890" max="16128" width="8.75" style="22"/>
    <col min="16129" max="16129" width="3.375" style="22" customWidth="1"/>
    <col min="16130" max="16130" width="41.875" style="22" customWidth="1"/>
    <col min="16131" max="16131" width="6.375" style="22" customWidth="1"/>
    <col min="16132" max="16132" width="18.625" style="22" customWidth="1"/>
    <col min="16133" max="16133" width="25.375" style="22" customWidth="1"/>
    <col min="16134" max="16134" width="23.25" style="22" customWidth="1"/>
    <col min="16135" max="16135" width="20.625" style="22" customWidth="1"/>
    <col min="16136" max="16136" width="22" style="22" customWidth="1"/>
    <col min="16137" max="16137" width="20.5" style="22" customWidth="1"/>
    <col min="16138" max="16140" width="18.625" style="22" customWidth="1"/>
    <col min="16141" max="16141" width="34.5" style="22" customWidth="1"/>
    <col min="16142" max="16142" width="35.5" style="22" customWidth="1"/>
    <col min="16143" max="16143" width="16.875" style="22" customWidth="1"/>
    <col min="16144" max="16144" width="19.875" style="22" customWidth="1"/>
    <col min="16145" max="16145" width="15.5" style="22" customWidth="1"/>
    <col min="16146" max="16384" width="8.75" style="22"/>
  </cols>
  <sheetData>
    <row r="1" spans="1:23" s="48" customFormat="1" ht="60" customHeight="1" thickBot="1" x14ac:dyDescent="0.25">
      <c r="A1" s="41" t="s">
        <v>255</v>
      </c>
      <c r="B1" s="42"/>
      <c r="C1" s="42"/>
      <c r="D1" s="42"/>
      <c r="E1" s="42"/>
      <c r="F1" s="43"/>
      <c r="G1" s="42"/>
      <c r="H1" s="42"/>
      <c r="I1" s="42"/>
      <c r="J1" s="42"/>
      <c r="K1" s="44"/>
      <c r="L1" s="164" t="s">
        <v>265</v>
      </c>
      <c r="M1" s="45"/>
      <c r="N1" s="45"/>
      <c r="O1" s="46"/>
      <c r="P1" s="47"/>
      <c r="Q1" s="47"/>
      <c r="R1" s="47"/>
      <c r="U1" s="49"/>
      <c r="V1" s="50"/>
      <c r="W1" s="51"/>
    </row>
    <row r="2" spans="1:23" s="48" customFormat="1" ht="31.5" customHeight="1" thickTop="1" x14ac:dyDescent="0.2">
      <c r="A2" s="163" t="s">
        <v>167</v>
      </c>
      <c r="D2" s="52"/>
      <c r="F2" s="53"/>
      <c r="G2" s="52"/>
      <c r="J2" s="52"/>
      <c r="K2" s="52"/>
      <c r="L2" s="52"/>
      <c r="M2" s="52"/>
      <c r="O2" s="54"/>
    </row>
    <row r="3" spans="1:23" s="48" customFormat="1" ht="9" customHeight="1" thickBot="1" x14ac:dyDescent="0.25">
      <c r="A3" s="55"/>
      <c r="D3" s="52"/>
      <c r="F3" s="53"/>
      <c r="G3" s="52"/>
      <c r="J3" s="52"/>
      <c r="K3" s="52"/>
      <c r="L3" s="52"/>
      <c r="M3" s="52"/>
      <c r="O3" s="56"/>
    </row>
    <row r="4" spans="1:23" s="57" customFormat="1" ht="24.75" thickTop="1" thickBot="1" x14ac:dyDescent="0.25">
      <c r="A4" s="116"/>
      <c r="B4" s="117"/>
      <c r="C4" s="118" t="s">
        <v>0</v>
      </c>
      <c r="D4" s="119" t="s">
        <v>1</v>
      </c>
      <c r="E4" s="118" t="s">
        <v>2</v>
      </c>
      <c r="F4" s="120"/>
      <c r="G4" s="119" t="s">
        <v>3</v>
      </c>
      <c r="H4" s="118" t="s">
        <v>4</v>
      </c>
      <c r="I4" s="118" t="s">
        <v>5</v>
      </c>
      <c r="J4" s="119" t="s">
        <v>6</v>
      </c>
      <c r="K4" s="119" t="s">
        <v>7</v>
      </c>
      <c r="L4" s="119" t="s">
        <v>8</v>
      </c>
      <c r="M4" s="119" t="s">
        <v>9</v>
      </c>
      <c r="N4" s="121" t="s">
        <v>37</v>
      </c>
    </row>
    <row r="5" spans="1:23" s="56" customFormat="1" ht="78.75" customHeight="1" thickTop="1" thickBot="1" x14ac:dyDescent="0.25">
      <c r="A5" s="306" t="s">
        <v>10</v>
      </c>
      <c r="B5" s="307"/>
      <c r="C5" s="122" t="s">
        <v>11</v>
      </c>
      <c r="D5" s="165" t="s">
        <v>266</v>
      </c>
      <c r="E5" s="122" t="s">
        <v>12</v>
      </c>
      <c r="F5" s="122" t="s">
        <v>132</v>
      </c>
      <c r="G5" s="123" t="s">
        <v>13</v>
      </c>
      <c r="H5" s="122" t="s">
        <v>14</v>
      </c>
      <c r="I5" s="122" t="s">
        <v>15</v>
      </c>
      <c r="J5" s="123" t="s">
        <v>16</v>
      </c>
      <c r="K5" s="123" t="s">
        <v>17</v>
      </c>
      <c r="L5" s="123" t="s">
        <v>18</v>
      </c>
      <c r="M5" s="123" t="s">
        <v>19</v>
      </c>
      <c r="N5" s="124" t="s">
        <v>137</v>
      </c>
    </row>
    <row r="6" spans="1:23" s="48" customFormat="1" ht="9" customHeight="1" thickTop="1" x14ac:dyDescent="0.2">
      <c r="A6" s="58"/>
      <c r="B6" s="47"/>
      <c r="C6" s="59"/>
      <c r="D6" s="60"/>
      <c r="E6" s="61"/>
      <c r="F6" s="62"/>
      <c r="G6" s="61"/>
      <c r="H6" s="61"/>
      <c r="I6" s="147"/>
      <c r="J6" s="61"/>
      <c r="K6" s="61"/>
      <c r="L6" s="61"/>
      <c r="M6" s="61"/>
      <c r="N6" s="147"/>
      <c r="O6" s="56"/>
    </row>
    <row r="7" spans="1:23" s="48" customFormat="1" ht="20.25" x14ac:dyDescent="0.2">
      <c r="A7" s="63" t="s">
        <v>20</v>
      </c>
      <c r="B7" s="64"/>
      <c r="C7" s="65"/>
      <c r="D7" s="66"/>
      <c r="E7" s="67"/>
      <c r="F7" s="68"/>
      <c r="G7" s="67"/>
      <c r="H7" s="67"/>
      <c r="I7" s="159"/>
      <c r="J7" s="67"/>
      <c r="K7" s="67"/>
      <c r="L7" s="67"/>
      <c r="M7" s="67"/>
      <c r="N7" s="148"/>
      <c r="O7" s="56"/>
    </row>
    <row r="8" spans="1:23" s="48" customFormat="1" ht="24.95" customHeight="1" x14ac:dyDescent="0.2">
      <c r="A8" s="69"/>
      <c r="B8" s="70" t="s">
        <v>136</v>
      </c>
      <c r="C8" s="65" t="s">
        <v>21</v>
      </c>
      <c r="D8" s="71">
        <v>1.5</v>
      </c>
      <c r="E8" s="72">
        <f>'Macro Program Summary'!F41</f>
        <v>0</v>
      </c>
      <c r="F8" s="73" t="s">
        <v>38</v>
      </c>
      <c r="G8" s="74">
        <f>D8*E8</f>
        <v>0</v>
      </c>
      <c r="H8" s="74">
        <f t="shared" ref="H8:H10" si="0">G8*0.15</f>
        <v>0</v>
      </c>
      <c r="I8" s="160">
        <f t="shared" ref="I8:I10" si="1">G8+H8</f>
        <v>0</v>
      </c>
      <c r="J8" s="74">
        <f t="shared" ref="J8:J10" si="2">I8*0.07</f>
        <v>0</v>
      </c>
      <c r="K8" s="74">
        <f t="shared" ref="K8:K10" si="3">I8*0.035</f>
        <v>0</v>
      </c>
      <c r="L8" s="74">
        <f t="shared" ref="L8:L10" si="4">I8*0.05</f>
        <v>0</v>
      </c>
      <c r="M8" s="75" t="e">
        <f>ROUND(N8/E8,1)</f>
        <v>#DIV/0!</v>
      </c>
      <c r="N8" s="149">
        <f>ROUND(SUM(I8:L8),-2)</f>
        <v>0</v>
      </c>
      <c r="O8" s="76"/>
    </row>
    <row r="9" spans="1:23" s="48" customFormat="1" ht="24.95" customHeight="1" x14ac:dyDescent="0.2">
      <c r="A9" s="69"/>
      <c r="B9" s="64" t="s">
        <v>35</v>
      </c>
      <c r="C9" s="65" t="s">
        <v>21</v>
      </c>
      <c r="D9" s="144">
        <v>1.75</v>
      </c>
      <c r="E9" s="77">
        <f>0.15*E8</f>
        <v>0</v>
      </c>
      <c r="F9" s="78" t="s">
        <v>39</v>
      </c>
      <c r="G9" s="74">
        <f t="shared" ref="G9:G10" si="5">D9*E9</f>
        <v>0</v>
      </c>
      <c r="H9" s="74">
        <f t="shared" si="0"/>
        <v>0</v>
      </c>
      <c r="I9" s="160">
        <f t="shared" si="1"/>
        <v>0</v>
      </c>
      <c r="J9" s="74">
        <f t="shared" si="2"/>
        <v>0</v>
      </c>
      <c r="K9" s="74">
        <f t="shared" si="3"/>
        <v>0</v>
      </c>
      <c r="L9" s="74">
        <f t="shared" si="4"/>
        <v>0</v>
      </c>
      <c r="M9" s="75" t="e">
        <f t="shared" ref="M9:M10" si="6">ROUND(N9/E9,1)</f>
        <v>#DIV/0!</v>
      </c>
      <c r="N9" s="149">
        <f t="shared" ref="N9:N10" si="7">ROUND(SUM(I9:L9),-2)</f>
        <v>0</v>
      </c>
      <c r="O9" s="76"/>
    </row>
    <row r="10" spans="1:23" s="48" customFormat="1" ht="30" x14ac:dyDescent="0.2">
      <c r="A10" s="69"/>
      <c r="B10" s="70" t="s">
        <v>253</v>
      </c>
      <c r="C10" s="65" t="s">
        <v>21</v>
      </c>
      <c r="D10" s="144">
        <v>6.25</v>
      </c>
      <c r="E10" s="77">
        <f>E8-(E9+E11+E29)</f>
        <v>0</v>
      </c>
      <c r="F10" s="78" t="s">
        <v>40</v>
      </c>
      <c r="G10" s="74">
        <f t="shared" si="5"/>
        <v>0</v>
      </c>
      <c r="H10" s="74">
        <f t="shared" si="0"/>
        <v>0</v>
      </c>
      <c r="I10" s="160">
        <f t="shared" si="1"/>
        <v>0</v>
      </c>
      <c r="J10" s="74">
        <f t="shared" si="2"/>
        <v>0</v>
      </c>
      <c r="K10" s="74">
        <f t="shared" si="3"/>
        <v>0</v>
      </c>
      <c r="L10" s="74">
        <f t="shared" si="4"/>
        <v>0</v>
      </c>
      <c r="M10" s="75" t="e">
        <f t="shared" si="6"/>
        <v>#DIV/0!</v>
      </c>
      <c r="N10" s="149">
        <f t="shared" si="7"/>
        <v>0</v>
      </c>
      <c r="O10" s="76"/>
    </row>
    <row r="11" spans="1:23" s="48" customFormat="1" ht="39" customHeight="1" thickBot="1" x14ac:dyDescent="0.25">
      <c r="A11" s="69"/>
      <c r="B11" s="64" t="str">
        <f>'Macro Program Summary'!B27</f>
        <v>Total Exterior Bus Parking</v>
      </c>
      <c r="C11" s="65" t="s">
        <v>21</v>
      </c>
      <c r="D11" s="144">
        <v>8.25</v>
      </c>
      <c r="E11" s="77">
        <f>'Macro Program Summary'!F27</f>
        <v>0</v>
      </c>
      <c r="F11" s="78" t="s">
        <v>40</v>
      </c>
      <c r="G11" s="74">
        <f t="shared" ref="G11" si="8">D11*E11</f>
        <v>0</v>
      </c>
      <c r="H11" s="74">
        <f t="shared" ref="H11" si="9">G11*0.15</f>
        <v>0</v>
      </c>
      <c r="I11" s="160">
        <f t="shared" ref="I11" si="10">G11+H11</f>
        <v>0</v>
      </c>
      <c r="J11" s="74">
        <f t="shared" ref="J11" si="11">I11*0.07</f>
        <v>0</v>
      </c>
      <c r="K11" s="74">
        <f t="shared" ref="K11" si="12">I11*0.035</f>
        <v>0</v>
      </c>
      <c r="L11" s="74">
        <f t="shared" ref="L11" si="13">I11*0.05</f>
        <v>0</v>
      </c>
      <c r="M11" s="75" t="e">
        <f t="shared" ref="M11" si="14">ROUND(N11/E11,1)</f>
        <v>#DIV/0!</v>
      </c>
      <c r="N11" s="149">
        <f t="shared" ref="N11" si="15">ROUND(SUM(I11:L11),-2)</f>
        <v>0</v>
      </c>
      <c r="O11" s="76"/>
    </row>
    <row r="12" spans="1:23" s="48" customFormat="1" ht="21" thickBot="1" x14ac:dyDescent="0.25">
      <c r="A12" s="79"/>
      <c r="B12" s="80" t="s">
        <v>23</v>
      </c>
      <c r="C12" s="81"/>
      <c r="D12" s="82"/>
      <c r="E12" s="83"/>
      <c r="F12" s="84"/>
      <c r="G12" s="85">
        <f t="shared" ref="G12:L12" si="16">SUM(G8:G10)</f>
        <v>0</v>
      </c>
      <c r="H12" s="85">
        <f t="shared" si="16"/>
        <v>0</v>
      </c>
      <c r="I12" s="161">
        <f t="shared" si="16"/>
        <v>0</v>
      </c>
      <c r="J12" s="85">
        <f t="shared" si="16"/>
        <v>0</v>
      </c>
      <c r="K12" s="85">
        <f t="shared" si="16"/>
        <v>0</v>
      </c>
      <c r="L12" s="85">
        <f t="shared" si="16"/>
        <v>0</v>
      </c>
      <c r="M12" s="86"/>
      <c r="N12" s="150">
        <f>SUM(N8:N10)</f>
        <v>0</v>
      </c>
      <c r="O12" s="76"/>
      <c r="P12" s="52"/>
      <c r="Q12" s="52"/>
    </row>
    <row r="13" spans="1:23" s="48" customFormat="1" ht="7.5" customHeight="1" x14ac:dyDescent="0.2">
      <c r="A13" s="69"/>
      <c r="B13" s="87"/>
      <c r="C13" s="65"/>
      <c r="D13" s="66"/>
      <c r="E13" s="72"/>
      <c r="F13" s="73"/>
      <c r="G13" s="74"/>
      <c r="H13" s="74"/>
      <c r="I13" s="160"/>
      <c r="J13" s="74"/>
      <c r="K13" s="74"/>
      <c r="L13" s="74"/>
      <c r="M13" s="75"/>
      <c r="N13" s="149"/>
      <c r="O13" s="56"/>
    </row>
    <row r="14" spans="1:23" s="48" customFormat="1" ht="20.25" customHeight="1" x14ac:dyDescent="0.2">
      <c r="A14" s="63" t="s">
        <v>24</v>
      </c>
      <c r="B14" s="64"/>
      <c r="C14" s="65"/>
      <c r="D14" s="66"/>
      <c r="E14" s="72"/>
      <c r="F14" s="73"/>
      <c r="G14" s="88"/>
      <c r="H14" s="88"/>
      <c r="I14" s="162"/>
      <c r="J14" s="88"/>
      <c r="K14" s="88"/>
      <c r="L14" s="88"/>
      <c r="M14" s="89"/>
      <c r="N14" s="151"/>
      <c r="O14" s="56"/>
    </row>
    <row r="15" spans="1:23" s="48" customFormat="1" ht="24.95" customHeight="1" x14ac:dyDescent="0.2">
      <c r="A15" s="69"/>
      <c r="B15" s="64" t="str">
        <f>'Macro Program Summary'!B7</f>
        <v>Total Administrative Area for the Facility (SF)</v>
      </c>
      <c r="C15" s="65" t="s">
        <v>21</v>
      </c>
      <c r="D15" s="144">
        <v>200</v>
      </c>
      <c r="E15" s="72">
        <f>'Macro Program Summary'!F7</f>
        <v>0</v>
      </c>
      <c r="F15" s="73"/>
      <c r="G15" s="74">
        <f t="shared" ref="G15:G18" si="17">D15*E15</f>
        <v>0</v>
      </c>
      <c r="H15" s="74">
        <f t="shared" ref="H15:H18" si="18">G15*0.15</f>
        <v>0</v>
      </c>
      <c r="I15" s="160">
        <f t="shared" ref="I15:I18" si="19">G15+H15</f>
        <v>0</v>
      </c>
      <c r="J15" s="74">
        <f t="shared" ref="J15:J18" si="20">I15*0.07</f>
        <v>0</v>
      </c>
      <c r="K15" s="74">
        <f t="shared" ref="K15:K18" si="21">I15*0.035</f>
        <v>0</v>
      </c>
      <c r="L15" s="74">
        <f t="shared" ref="L15:L18" si="22">I15*0.05</f>
        <v>0</v>
      </c>
      <c r="M15" s="75" t="e">
        <f t="shared" ref="M15:M19" si="23">ROUND(N15/E15,1)</f>
        <v>#DIV/0!</v>
      </c>
      <c r="N15" s="149">
        <f t="shared" ref="N15:N27" si="24">ROUND(SUM(I15:L15),-2)</f>
        <v>0</v>
      </c>
      <c r="O15" s="76"/>
      <c r="P15" s="52"/>
      <c r="Q15" s="52"/>
    </row>
    <row r="16" spans="1:23" s="48" customFormat="1" ht="24.95" customHeight="1" x14ac:dyDescent="0.2">
      <c r="A16" s="69"/>
      <c r="B16" s="64" t="str">
        <f>'Macro Program Summary'!B9</f>
        <v>Total Operations Areas for the Facility (SF)</v>
      </c>
      <c r="C16" s="65" t="s">
        <v>21</v>
      </c>
      <c r="D16" s="145">
        <v>125</v>
      </c>
      <c r="E16" s="72">
        <f>'Macro Program Summary'!F9</f>
        <v>0</v>
      </c>
      <c r="F16" s="73"/>
      <c r="G16" s="74">
        <f t="shared" si="17"/>
        <v>0</v>
      </c>
      <c r="H16" s="74">
        <f t="shared" si="18"/>
        <v>0</v>
      </c>
      <c r="I16" s="160">
        <f t="shared" si="19"/>
        <v>0</v>
      </c>
      <c r="J16" s="74">
        <f t="shared" si="20"/>
        <v>0</v>
      </c>
      <c r="K16" s="74">
        <f t="shared" si="21"/>
        <v>0</v>
      </c>
      <c r="L16" s="74">
        <f t="shared" si="22"/>
        <v>0</v>
      </c>
      <c r="M16" s="75" t="e">
        <f t="shared" si="23"/>
        <v>#DIV/0!</v>
      </c>
      <c r="N16" s="149">
        <f t="shared" si="24"/>
        <v>0</v>
      </c>
      <c r="O16" s="76"/>
      <c r="P16" s="52"/>
      <c r="Q16" s="52"/>
    </row>
    <row r="17" spans="1:17" s="48" customFormat="1" ht="24.95" customHeight="1" x14ac:dyDescent="0.2">
      <c r="A17" s="69"/>
      <c r="B17" s="64" t="str">
        <f>'Macro Program Summary'!B11</f>
        <v>Total Vehicle Maintenance Areas for the Facility (SF)</v>
      </c>
      <c r="C17" s="65" t="s">
        <v>21</v>
      </c>
      <c r="D17" s="145">
        <v>150</v>
      </c>
      <c r="E17" s="72">
        <f>'Macro Program Summary'!F11</f>
        <v>0</v>
      </c>
      <c r="F17" s="73"/>
      <c r="G17" s="74">
        <f t="shared" ref="G17" si="25">D17*E17</f>
        <v>0</v>
      </c>
      <c r="H17" s="74">
        <f t="shared" ref="H17" si="26">G17*0.15</f>
        <v>0</v>
      </c>
      <c r="I17" s="160">
        <f t="shared" ref="I17" si="27">G17+H17</f>
        <v>0</v>
      </c>
      <c r="J17" s="74">
        <f t="shared" ref="J17" si="28">I17*0.07</f>
        <v>0</v>
      </c>
      <c r="K17" s="74">
        <f t="shared" ref="K17" si="29">I17*0.035</f>
        <v>0</v>
      </c>
      <c r="L17" s="74">
        <f t="shared" ref="L17" si="30">I17*0.05</f>
        <v>0</v>
      </c>
      <c r="M17" s="75" t="e">
        <f t="shared" si="23"/>
        <v>#DIV/0!</v>
      </c>
      <c r="N17" s="149">
        <f t="shared" si="24"/>
        <v>0</v>
      </c>
      <c r="O17" s="76"/>
      <c r="P17" s="52"/>
      <c r="Q17" s="52"/>
    </row>
    <row r="18" spans="1:17" s="48" customFormat="1" ht="24.95" customHeight="1" x14ac:dyDescent="0.2">
      <c r="A18" s="69"/>
      <c r="B18" s="64" t="str">
        <f>'Macro Program Summary'!B13</f>
        <v>Total Parts Storage Areas for the Facility (SF)</v>
      </c>
      <c r="C18" s="65" t="s">
        <v>21</v>
      </c>
      <c r="D18" s="145">
        <v>150</v>
      </c>
      <c r="E18" s="72">
        <f>'Macro Program Summary'!F13</f>
        <v>0</v>
      </c>
      <c r="F18" s="73"/>
      <c r="G18" s="74">
        <f t="shared" si="17"/>
        <v>0</v>
      </c>
      <c r="H18" s="74">
        <f t="shared" si="18"/>
        <v>0</v>
      </c>
      <c r="I18" s="160">
        <f t="shared" si="19"/>
        <v>0</v>
      </c>
      <c r="J18" s="74">
        <f t="shared" si="20"/>
        <v>0</v>
      </c>
      <c r="K18" s="74">
        <f t="shared" si="21"/>
        <v>0</v>
      </c>
      <c r="L18" s="74">
        <f t="shared" si="22"/>
        <v>0</v>
      </c>
      <c r="M18" s="75" t="e">
        <f t="shared" si="23"/>
        <v>#DIV/0!</v>
      </c>
      <c r="N18" s="149">
        <f t="shared" si="24"/>
        <v>0</v>
      </c>
      <c r="O18" s="76"/>
      <c r="P18" s="52"/>
      <c r="Q18" s="52"/>
    </row>
    <row r="19" spans="1:17" s="48" customFormat="1" ht="24.95" customHeight="1" x14ac:dyDescent="0.2">
      <c r="A19" s="69"/>
      <c r="B19" s="64" t="str">
        <f>'Macro Program Summary'!B15</f>
        <v>Total Interior Bus Parking</v>
      </c>
      <c r="C19" s="65" t="s">
        <v>21</v>
      </c>
      <c r="D19" s="145">
        <v>80</v>
      </c>
      <c r="E19" s="90" t="str">
        <f>'Macro Program Summary'!F15</f>
        <v>0</v>
      </c>
      <c r="F19" s="73"/>
      <c r="G19" s="74">
        <f t="shared" ref="G19" si="31">D19*E19</f>
        <v>0</v>
      </c>
      <c r="H19" s="74">
        <f t="shared" ref="H19" si="32">G19*0.15</f>
        <v>0</v>
      </c>
      <c r="I19" s="160">
        <f t="shared" ref="I19" si="33">G19+H19</f>
        <v>0</v>
      </c>
      <c r="J19" s="74">
        <f t="shared" ref="J19" si="34">I19*0.07</f>
        <v>0</v>
      </c>
      <c r="K19" s="74">
        <f t="shared" ref="K19" si="35">I19*0.035</f>
        <v>0</v>
      </c>
      <c r="L19" s="74">
        <f t="shared" ref="L19" si="36">I19*0.05</f>
        <v>0</v>
      </c>
      <c r="M19" s="75" t="e">
        <f t="shared" si="23"/>
        <v>#DIV/0!</v>
      </c>
      <c r="N19" s="149">
        <f t="shared" si="24"/>
        <v>0</v>
      </c>
      <c r="O19" s="76"/>
      <c r="P19" s="52"/>
      <c r="Q19" s="52"/>
    </row>
    <row r="20" spans="1:17" s="48" customFormat="1" ht="24.95" customHeight="1" x14ac:dyDescent="0.2">
      <c r="A20" s="69"/>
      <c r="B20" s="70" t="str">
        <f>'Macro Program Summary'!B17</f>
        <v>Total Service Areas (Fuel/Fare/Wash)</v>
      </c>
      <c r="C20" s="65" t="s">
        <v>21</v>
      </c>
      <c r="D20" s="145">
        <v>150</v>
      </c>
      <c r="E20" s="72">
        <f>'Macro Program Summary'!F17</f>
        <v>0</v>
      </c>
      <c r="F20" s="73"/>
      <c r="G20" s="74">
        <f t="shared" ref="G20" si="37">D20*E20</f>
        <v>0</v>
      </c>
      <c r="H20" s="74">
        <f t="shared" ref="H20" si="38">G20*0.15</f>
        <v>0</v>
      </c>
      <c r="I20" s="160">
        <f t="shared" ref="I20" si="39">G20+H20</f>
        <v>0</v>
      </c>
      <c r="J20" s="74">
        <f t="shared" ref="J20" si="40">I20*0.07</f>
        <v>0</v>
      </c>
      <c r="K20" s="74">
        <f t="shared" ref="K20" si="41">I20*0.035</f>
        <v>0</v>
      </c>
      <c r="L20" s="74">
        <f t="shared" ref="L20" si="42">I20*0.05</f>
        <v>0</v>
      </c>
      <c r="M20" s="75" t="e">
        <f t="shared" ref="M20" si="43">ROUND(N20/E20,1)</f>
        <v>#DIV/0!</v>
      </c>
      <c r="N20" s="149">
        <f t="shared" ref="N20" si="44">ROUND(SUM(I20:L20),-2)</f>
        <v>0</v>
      </c>
      <c r="O20" s="76"/>
      <c r="P20" s="52"/>
      <c r="Q20" s="52"/>
    </row>
    <row r="21" spans="1:17" s="48" customFormat="1" ht="20.25" customHeight="1" x14ac:dyDescent="0.2">
      <c r="A21" s="69"/>
      <c r="B21" s="64"/>
      <c r="C21" s="65"/>
      <c r="D21" s="91"/>
      <c r="E21" s="72"/>
      <c r="F21" s="73"/>
      <c r="G21" s="74"/>
      <c r="H21" s="74"/>
      <c r="I21" s="160"/>
      <c r="J21" s="74"/>
      <c r="K21" s="74"/>
      <c r="L21" s="74"/>
      <c r="M21" s="75"/>
      <c r="N21" s="149"/>
      <c r="O21" s="76"/>
      <c r="P21" s="52"/>
      <c r="Q21" s="52"/>
    </row>
    <row r="22" spans="1:17" s="48" customFormat="1" ht="20.25" customHeight="1" x14ac:dyDescent="0.2">
      <c r="A22" s="63" t="s">
        <v>25</v>
      </c>
      <c r="B22" s="64"/>
      <c r="C22" s="65"/>
      <c r="D22" s="91"/>
      <c r="E22" s="72"/>
      <c r="F22" s="73"/>
      <c r="G22" s="74"/>
      <c r="H22" s="74"/>
      <c r="I22" s="160"/>
      <c r="J22" s="74"/>
      <c r="K22" s="74"/>
      <c r="L22" s="74"/>
      <c r="M22" s="75"/>
      <c r="N22" s="149"/>
      <c r="O22" s="76"/>
      <c r="P22" s="52"/>
      <c r="Q22" s="52"/>
    </row>
    <row r="23" spans="1:17" s="48" customFormat="1" ht="24.95" customHeight="1" x14ac:dyDescent="0.2">
      <c r="A23" s="69"/>
      <c r="B23" s="64" t="str">
        <f>'Macro Program Summary'!B22</f>
        <v>Total Covered Bus Parking</v>
      </c>
      <c r="C23" s="65" t="s">
        <v>21</v>
      </c>
      <c r="D23" s="144">
        <v>30</v>
      </c>
      <c r="E23" s="90" t="str">
        <f>'Macro Program Summary'!F22</f>
        <v>0</v>
      </c>
      <c r="F23" s="73"/>
      <c r="G23" s="74">
        <f>D23*E23</f>
        <v>0</v>
      </c>
      <c r="H23" s="74">
        <f>G23*0.15</f>
        <v>0</v>
      </c>
      <c r="I23" s="160">
        <f>G23+H23</f>
        <v>0</v>
      </c>
      <c r="J23" s="74">
        <f>I23*0.07</f>
        <v>0</v>
      </c>
      <c r="K23" s="74">
        <f>I23*0.035</f>
        <v>0</v>
      </c>
      <c r="L23" s="74">
        <f>I23*0.05</f>
        <v>0</v>
      </c>
      <c r="M23" s="75" t="e">
        <f t="shared" ref="M23" si="45">ROUND(N23/E23,1)</f>
        <v>#DIV/0!</v>
      </c>
      <c r="N23" s="149">
        <f t="shared" ref="N23" si="46">ROUND(SUM(I23:L23),-2)</f>
        <v>0</v>
      </c>
      <c r="O23" s="76"/>
      <c r="P23" s="52"/>
      <c r="Q23" s="52"/>
    </row>
    <row r="24" spans="1:17" s="48" customFormat="1" ht="24.95" customHeight="1" x14ac:dyDescent="0.2">
      <c r="A24" s="69"/>
      <c r="B24" s="64" t="s">
        <v>26</v>
      </c>
      <c r="C24" s="65" t="s">
        <v>26</v>
      </c>
      <c r="D24" s="91" t="s">
        <v>26</v>
      </c>
      <c r="E24" s="72"/>
      <c r="F24" s="73"/>
      <c r="G24" s="74" t="s">
        <v>26</v>
      </c>
      <c r="H24" s="74"/>
      <c r="I24" s="160"/>
      <c r="J24" s="74"/>
      <c r="K24" s="74"/>
      <c r="L24" s="74"/>
      <c r="M24" s="75"/>
      <c r="N24" s="149"/>
      <c r="O24" s="56"/>
    </row>
    <row r="25" spans="1:17" s="48" customFormat="1" ht="30" x14ac:dyDescent="0.2">
      <c r="A25" s="63" t="s">
        <v>229</v>
      </c>
      <c r="B25" s="64"/>
      <c r="C25" s="65" t="s">
        <v>21</v>
      </c>
      <c r="D25" s="144">
        <v>20</v>
      </c>
      <c r="E25" s="72">
        <f>E15+E16</f>
        <v>0</v>
      </c>
      <c r="F25" s="73" t="s">
        <v>41</v>
      </c>
      <c r="G25" s="74">
        <f>D25*E25</f>
        <v>0</v>
      </c>
      <c r="H25" s="74">
        <f>G25*0.15</f>
        <v>0</v>
      </c>
      <c r="I25" s="160">
        <f>G25+H25</f>
        <v>0</v>
      </c>
      <c r="J25" s="74">
        <v>0</v>
      </c>
      <c r="K25" s="74">
        <v>0</v>
      </c>
      <c r="L25" s="74">
        <f>I25*0.05</f>
        <v>0</v>
      </c>
      <c r="M25" s="75" t="e">
        <f t="shared" ref="M25:M27" si="47">ROUND(N25/E25,1)</f>
        <v>#DIV/0!</v>
      </c>
      <c r="N25" s="149">
        <f t="shared" si="24"/>
        <v>0</v>
      </c>
      <c r="O25" s="76"/>
    </row>
    <row r="26" spans="1:17" s="48" customFormat="1" ht="30" x14ac:dyDescent="0.2">
      <c r="A26" s="63" t="s">
        <v>73</v>
      </c>
      <c r="B26" s="64"/>
      <c r="C26" s="65" t="s">
        <v>21</v>
      </c>
      <c r="D26" s="144">
        <v>25</v>
      </c>
      <c r="E26" s="72">
        <f>E16+E17+E18</f>
        <v>0</v>
      </c>
      <c r="F26" s="73" t="s">
        <v>230</v>
      </c>
      <c r="G26" s="74">
        <f>D26*E26</f>
        <v>0</v>
      </c>
      <c r="H26" s="74">
        <f>G26*0.15</f>
        <v>0</v>
      </c>
      <c r="I26" s="160">
        <f>G26+H26</f>
        <v>0</v>
      </c>
      <c r="J26" s="74">
        <v>0</v>
      </c>
      <c r="K26" s="74">
        <v>0</v>
      </c>
      <c r="L26" s="74">
        <f>I26*0.05</f>
        <v>0</v>
      </c>
      <c r="M26" s="75" t="e">
        <f t="shared" si="47"/>
        <v>#DIV/0!</v>
      </c>
      <c r="N26" s="149">
        <f t="shared" si="24"/>
        <v>0</v>
      </c>
      <c r="O26" s="76"/>
    </row>
    <row r="27" spans="1:17" s="48" customFormat="1" ht="61.5" customHeight="1" x14ac:dyDescent="0.2">
      <c r="A27" s="63" t="s">
        <v>36</v>
      </c>
      <c r="B27" s="64"/>
      <c r="C27" s="65" t="s">
        <v>21</v>
      </c>
      <c r="D27" s="144">
        <v>50</v>
      </c>
      <c r="E27" s="72">
        <f>E20</f>
        <v>0</v>
      </c>
      <c r="F27" s="73" t="s">
        <v>145</v>
      </c>
      <c r="G27" s="74">
        <f>D27*E27</f>
        <v>0</v>
      </c>
      <c r="H27" s="74">
        <f>G27*0.15</f>
        <v>0</v>
      </c>
      <c r="I27" s="160">
        <f>G27+H27</f>
        <v>0</v>
      </c>
      <c r="J27" s="74">
        <v>0</v>
      </c>
      <c r="K27" s="74">
        <v>0</v>
      </c>
      <c r="L27" s="74">
        <f>I27*0.05</f>
        <v>0</v>
      </c>
      <c r="M27" s="75" t="e">
        <f t="shared" si="47"/>
        <v>#DIV/0!</v>
      </c>
      <c r="N27" s="149">
        <f t="shared" si="24"/>
        <v>0</v>
      </c>
      <c r="O27" s="76"/>
    </row>
    <row r="28" spans="1:17" s="48" customFormat="1" ht="9" customHeight="1" thickBot="1" x14ac:dyDescent="0.25">
      <c r="A28" s="63"/>
      <c r="B28" s="64"/>
      <c r="C28" s="65"/>
      <c r="D28" s="92"/>
      <c r="E28" s="89"/>
      <c r="F28" s="93"/>
      <c r="G28" s="74"/>
      <c r="H28" s="74"/>
      <c r="I28" s="160"/>
      <c r="J28" s="74"/>
      <c r="K28" s="74"/>
      <c r="L28" s="74"/>
      <c r="M28" s="75"/>
      <c r="N28" s="149"/>
      <c r="O28" s="76"/>
    </row>
    <row r="29" spans="1:17" s="48" customFormat="1" ht="21" thickBot="1" x14ac:dyDescent="0.25">
      <c r="A29" s="79"/>
      <c r="B29" s="94" t="s">
        <v>27</v>
      </c>
      <c r="C29" s="81"/>
      <c r="D29" s="82"/>
      <c r="E29" s="95">
        <f>SUM(E15:E23)</f>
        <v>0</v>
      </c>
      <c r="F29" s="96"/>
      <c r="G29" s="85">
        <f t="shared" ref="G29:L29" si="48">SUM(G15:G26)</f>
        <v>0</v>
      </c>
      <c r="H29" s="85">
        <f t="shared" si="48"/>
        <v>0</v>
      </c>
      <c r="I29" s="161">
        <f t="shared" si="48"/>
        <v>0</v>
      </c>
      <c r="J29" s="85">
        <f t="shared" si="48"/>
        <v>0</v>
      </c>
      <c r="K29" s="85">
        <f t="shared" si="48"/>
        <v>0</v>
      </c>
      <c r="L29" s="85">
        <f t="shared" si="48"/>
        <v>0</v>
      </c>
      <c r="M29" s="86"/>
      <c r="N29" s="150">
        <f>SUM(N15:N28)</f>
        <v>0</v>
      </c>
      <c r="O29" s="56"/>
    </row>
    <row r="30" spans="1:17" s="48" customFormat="1" ht="9" customHeight="1" x14ac:dyDescent="0.2">
      <c r="A30" s="63"/>
      <c r="B30" s="64"/>
      <c r="C30" s="65"/>
      <c r="D30" s="66"/>
      <c r="E30" s="67"/>
      <c r="F30" s="68"/>
      <c r="G30" s="97"/>
      <c r="H30" s="97"/>
      <c r="I30" s="97"/>
      <c r="J30" s="97"/>
      <c r="K30" s="97"/>
      <c r="L30" s="97"/>
      <c r="M30" s="67"/>
      <c r="N30" s="98"/>
      <c r="O30" s="56"/>
    </row>
    <row r="31" spans="1:17" s="56" customFormat="1" ht="20.25" x14ac:dyDescent="0.2">
      <c r="A31" s="125"/>
      <c r="B31" s="126" t="s">
        <v>28</v>
      </c>
      <c r="C31" s="127"/>
      <c r="D31" s="128"/>
      <c r="E31" s="129"/>
      <c r="F31" s="130"/>
      <c r="G31" s="131">
        <f t="shared" ref="G31:L31" si="49">SUM(G29,G12)</f>
        <v>0</v>
      </c>
      <c r="H31" s="131">
        <f t="shared" si="49"/>
        <v>0</v>
      </c>
      <c r="I31" s="131">
        <f t="shared" si="49"/>
        <v>0</v>
      </c>
      <c r="J31" s="131">
        <f t="shared" si="49"/>
        <v>0</v>
      </c>
      <c r="K31" s="131">
        <f t="shared" si="49"/>
        <v>0</v>
      </c>
      <c r="L31" s="131">
        <f t="shared" si="49"/>
        <v>0</v>
      </c>
      <c r="M31" s="132"/>
      <c r="N31" s="133">
        <f>SUM(N29,N12)</f>
        <v>0</v>
      </c>
    </row>
    <row r="32" spans="1:17" s="48" customFormat="1" ht="9" customHeight="1" x14ac:dyDescent="0.2">
      <c r="A32" s="69"/>
      <c r="B32" s="64"/>
      <c r="C32" s="65"/>
      <c r="D32" s="66"/>
      <c r="E32" s="99"/>
      <c r="F32" s="100"/>
      <c r="G32" s="67"/>
      <c r="H32" s="99"/>
      <c r="I32" s="99"/>
      <c r="J32" s="67"/>
      <c r="K32" s="67"/>
      <c r="L32" s="67"/>
      <c r="M32" s="67"/>
      <c r="N32" s="98"/>
      <c r="O32" s="56"/>
    </row>
    <row r="33" spans="1:46" s="48" customFormat="1" ht="24.95" customHeight="1" x14ac:dyDescent="0.2">
      <c r="A33" s="63" t="s">
        <v>254</v>
      </c>
      <c r="B33" s="64"/>
      <c r="C33" s="65" t="s">
        <v>21</v>
      </c>
      <c r="D33" s="144">
        <v>1.5</v>
      </c>
      <c r="E33" s="67"/>
      <c r="F33" s="68"/>
      <c r="G33" s="67"/>
      <c r="H33" s="99"/>
      <c r="I33" s="99"/>
      <c r="J33" s="67"/>
      <c r="K33" s="67"/>
      <c r="L33" s="67"/>
      <c r="M33" s="67"/>
      <c r="N33" s="101">
        <f>D33*E8</f>
        <v>0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</row>
    <row r="34" spans="1:46" s="48" customFormat="1" ht="24.95" customHeight="1" x14ac:dyDescent="0.2">
      <c r="A34" s="63" t="s">
        <v>29</v>
      </c>
      <c r="B34" s="64"/>
      <c r="C34" s="65" t="s">
        <v>30</v>
      </c>
      <c r="D34" s="102">
        <v>0.1</v>
      </c>
      <c r="E34" s="67"/>
      <c r="F34" s="68"/>
      <c r="G34" s="67"/>
      <c r="H34" s="99"/>
      <c r="I34" s="99"/>
      <c r="J34" s="67"/>
      <c r="K34" s="67"/>
      <c r="L34" s="67"/>
      <c r="M34" s="67"/>
      <c r="N34" s="101">
        <f>D34*N31</f>
        <v>0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48" customFormat="1" ht="24.95" customHeight="1" x14ac:dyDescent="0.2">
      <c r="A35" s="63" t="s">
        <v>31</v>
      </c>
      <c r="B35" s="64"/>
      <c r="C35" s="65" t="s">
        <v>30</v>
      </c>
      <c r="D35" s="102">
        <v>0.01</v>
      </c>
      <c r="E35" s="67"/>
      <c r="F35" s="68"/>
      <c r="G35" s="67"/>
      <c r="H35" s="99"/>
      <c r="I35" s="99"/>
      <c r="J35" s="67"/>
      <c r="K35" s="67"/>
      <c r="L35" s="67"/>
      <c r="M35" s="67"/>
      <c r="N35" s="101">
        <f>D35*N31</f>
        <v>0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</row>
    <row r="36" spans="1:46" s="48" customFormat="1" ht="24.95" customHeight="1" x14ac:dyDescent="0.2">
      <c r="A36" s="63" t="s">
        <v>32</v>
      </c>
      <c r="B36" s="64"/>
      <c r="C36" s="65" t="s">
        <v>22</v>
      </c>
      <c r="D36" s="146">
        <v>50000</v>
      </c>
      <c r="E36" s="67"/>
      <c r="F36" s="68"/>
      <c r="G36" s="67"/>
      <c r="H36" s="99"/>
      <c r="I36" s="99"/>
      <c r="J36" s="67"/>
      <c r="K36" s="67"/>
      <c r="L36" s="67"/>
      <c r="M36" s="67"/>
      <c r="N36" s="103">
        <f>D36</f>
        <v>50000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</row>
    <row r="37" spans="1:46" s="48" customFormat="1" ht="24.95" customHeight="1" x14ac:dyDescent="0.2">
      <c r="A37" s="63" t="s">
        <v>146</v>
      </c>
      <c r="B37" s="64"/>
      <c r="C37" s="65" t="s">
        <v>30</v>
      </c>
      <c r="D37" s="102">
        <v>0.02</v>
      </c>
      <c r="E37" s="67"/>
      <c r="F37" s="68"/>
      <c r="G37" s="67"/>
      <c r="H37" s="99"/>
      <c r="I37" s="99"/>
      <c r="J37" s="67"/>
      <c r="K37" s="67"/>
      <c r="L37" s="67"/>
      <c r="M37" s="67"/>
      <c r="N37" s="101">
        <f>N31*0.02</f>
        <v>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</row>
    <row r="38" spans="1:46" s="48" customFormat="1" ht="9" customHeight="1" x14ac:dyDescent="0.2">
      <c r="A38" s="63"/>
      <c r="B38" s="64"/>
      <c r="C38" s="65"/>
      <c r="D38" s="104"/>
      <c r="E38" s="67"/>
      <c r="F38" s="68"/>
      <c r="G38" s="67"/>
      <c r="H38" s="99"/>
      <c r="I38" s="99"/>
      <c r="J38" s="67"/>
      <c r="K38" s="67"/>
      <c r="L38" s="67"/>
      <c r="M38" s="67"/>
      <c r="N38" s="98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</row>
    <row r="39" spans="1:46" s="56" customFormat="1" ht="20.25" x14ac:dyDescent="0.2">
      <c r="A39" s="125"/>
      <c r="B39" s="126" t="s">
        <v>28</v>
      </c>
      <c r="C39" s="127"/>
      <c r="D39" s="128"/>
      <c r="E39" s="134"/>
      <c r="F39" s="135"/>
      <c r="G39" s="129"/>
      <c r="H39" s="129"/>
      <c r="I39" s="129"/>
      <c r="J39" s="129"/>
      <c r="K39" s="129"/>
      <c r="L39" s="129"/>
      <c r="M39" s="129"/>
      <c r="N39" s="133">
        <f>SUM(N33:N38)</f>
        <v>50000</v>
      </c>
    </row>
    <row r="40" spans="1:46" s="48" customFormat="1" ht="9" customHeight="1" x14ac:dyDescent="0.2">
      <c r="A40" s="69"/>
      <c r="B40" s="64"/>
      <c r="C40" s="105"/>
      <c r="D40" s="66"/>
      <c r="E40" s="64"/>
      <c r="F40" s="70"/>
      <c r="G40" s="67"/>
      <c r="H40" s="99"/>
      <c r="I40" s="99"/>
      <c r="J40" s="67"/>
      <c r="K40" s="67"/>
      <c r="L40" s="67"/>
      <c r="M40" s="67"/>
      <c r="N40" s="98"/>
      <c r="O40" s="56"/>
    </row>
    <row r="41" spans="1:46" s="56" customFormat="1" ht="20.25" x14ac:dyDescent="0.2">
      <c r="A41" s="125"/>
      <c r="B41" s="126" t="s">
        <v>33</v>
      </c>
      <c r="C41" s="127"/>
      <c r="D41" s="128"/>
      <c r="E41" s="134"/>
      <c r="F41" s="135"/>
      <c r="G41" s="136">
        <f t="shared" ref="G41:N41" si="50">SUM(G39,G31)</f>
        <v>0</v>
      </c>
      <c r="H41" s="136">
        <f t="shared" si="50"/>
        <v>0</v>
      </c>
      <c r="I41" s="136">
        <f t="shared" si="50"/>
        <v>0</v>
      </c>
      <c r="J41" s="136">
        <f t="shared" si="50"/>
        <v>0</v>
      </c>
      <c r="K41" s="136">
        <f t="shared" si="50"/>
        <v>0</v>
      </c>
      <c r="L41" s="136">
        <f t="shared" si="50"/>
        <v>0</v>
      </c>
      <c r="M41" s="129"/>
      <c r="N41" s="133">
        <f t="shared" si="50"/>
        <v>50000</v>
      </c>
    </row>
    <row r="42" spans="1:46" s="48" customFormat="1" ht="15.75" thickBot="1" x14ac:dyDescent="0.25">
      <c r="A42" s="47"/>
      <c r="B42" s="47"/>
      <c r="C42" s="106"/>
      <c r="D42" s="60"/>
      <c r="E42" s="47"/>
      <c r="F42" s="107"/>
      <c r="G42" s="60"/>
      <c r="H42" s="47"/>
      <c r="I42" s="47"/>
      <c r="J42" s="60"/>
      <c r="K42" s="60"/>
      <c r="L42" s="60"/>
      <c r="M42" s="60"/>
      <c r="N42" s="108"/>
      <c r="O42" s="56"/>
    </row>
    <row r="43" spans="1:46" s="109" customFormat="1" ht="34.5" thickBot="1" x14ac:dyDescent="0.25">
      <c r="A43" s="137" t="s">
        <v>34</v>
      </c>
      <c r="B43" s="138"/>
      <c r="C43" s="139"/>
      <c r="D43" s="140"/>
      <c r="E43" s="138"/>
      <c r="F43" s="141"/>
      <c r="G43" s="140"/>
      <c r="H43" s="138"/>
      <c r="I43" s="138"/>
      <c r="J43" s="140"/>
      <c r="K43" s="140"/>
      <c r="L43" s="140"/>
      <c r="M43" s="142" t="s">
        <v>133</v>
      </c>
      <c r="N43" s="143">
        <f>ROUNDUP(N41,-3)</f>
        <v>50000</v>
      </c>
      <c r="O43" s="55"/>
    </row>
    <row r="44" spans="1:46" s="47" customFormat="1" ht="15" customHeight="1" thickBot="1" x14ac:dyDescent="0.25">
      <c r="C44" s="106"/>
      <c r="D44" s="60"/>
      <c r="F44" s="107"/>
      <c r="G44" s="60"/>
      <c r="J44" s="60"/>
      <c r="K44" s="60"/>
      <c r="L44" s="60"/>
      <c r="M44" s="60"/>
      <c r="N44" s="110"/>
      <c r="O44" s="54"/>
    </row>
    <row r="45" spans="1:46" s="111" customFormat="1" ht="27" thickBot="1" x14ac:dyDescent="0.25">
      <c r="A45" s="152" t="s">
        <v>34</v>
      </c>
      <c r="B45" s="153"/>
      <c r="C45" s="154"/>
      <c r="D45" s="155"/>
      <c r="E45" s="153"/>
      <c r="F45" s="156"/>
      <c r="G45" s="155"/>
      <c r="H45" s="153"/>
      <c r="I45" s="153"/>
      <c r="J45" s="155"/>
      <c r="K45" s="155"/>
      <c r="L45" s="155"/>
      <c r="M45" s="157" t="s">
        <v>140</v>
      </c>
      <c r="N45" s="158">
        <f>ROUNDUP(N43+(N41*0.035),-3)</f>
        <v>52000</v>
      </c>
    </row>
    <row r="46" spans="1:46" s="115" customFormat="1" ht="15" customHeight="1" thickBot="1" x14ac:dyDescent="0.25">
      <c r="A46" s="112"/>
      <c r="B46" s="112"/>
      <c r="C46" s="113"/>
      <c r="D46" s="114"/>
      <c r="E46" s="112"/>
      <c r="F46" s="53"/>
      <c r="G46" s="114"/>
      <c r="H46" s="112"/>
      <c r="I46" s="112"/>
      <c r="J46" s="114"/>
      <c r="K46" s="114"/>
      <c r="L46" s="114"/>
      <c r="M46" s="114"/>
      <c r="N46" s="112"/>
    </row>
    <row r="47" spans="1:46" s="111" customFormat="1" ht="27" thickBot="1" x14ac:dyDescent="0.25">
      <c r="A47" s="152" t="s">
        <v>34</v>
      </c>
      <c r="B47" s="153"/>
      <c r="C47" s="154"/>
      <c r="D47" s="155"/>
      <c r="E47" s="153"/>
      <c r="F47" s="156"/>
      <c r="G47" s="155"/>
      <c r="H47" s="153"/>
      <c r="I47" s="153"/>
      <c r="J47" s="155"/>
      <c r="K47" s="155"/>
      <c r="L47" s="155"/>
      <c r="M47" s="157" t="s">
        <v>141</v>
      </c>
      <c r="N47" s="158">
        <f>ROUNDUP(N45+(N43*0.035),-3)</f>
        <v>54000</v>
      </c>
    </row>
    <row r="48" spans="1:46" s="115" customFormat="1" ht="15" customHeight="1" thickBot="1" x14ac:dyDescent="0.25">
      <c r="A48" s="112"/>
      <c r="B48" s="112"/>
      <c r="C48" s="112"/>
      <c r="D48" s="114"/>
      <c r="E48" s="112"/>
      <c r="F48" s="53"/>
      <c r="G48" s="114"/>
      <c r="H48" s="112"/>
      <c r="I48" s="112"/>
      <c r="J48" s="114"/>
      <c r="K48" s="114"/>
      <c r="L48" s="114"/>
      <c r="M48" s="114"/>
      <c r="N48" s="112"/>
    </row>
    <row r="49" spans="1:15" s="111" customFormat="1" ht="27" thickBot="1" x14ac:dyDescent="0.25">
      <c r="A49" s="152" t="s">
        <v>34</v>
      </c>
      <c r="B49" s="153"/>
      <c r="C49" s="154"/>
      <c r="D49" s="155"/>
      <c r="E49" s="153"/>
      <c r="F49" s="156"/>
      <c r="G49" s="155"/>
      <c r="H49" s="153"/>
      <c r="I49" s="153"/>
      <c r="J49" s="155"/>
      <c r="K49" s="155"/>
      <c r="L49" s="155"/>
      <c r="M49" s="157" t="s">
        <v>142</v>
      </c>
      <c r="N49" s="158">
        <f>ROUNDUP(N47+(N45*0.035),-3)</f>
        <v>56000</v>
      </c>
    </row>
    <row r="50" spans="1:15" s="115" customFormat="1" ht="15" customHeight="1" thickBot="1" x14ac:dyDescent="0.25">
      <c r="A50" s="112"/>
      <c r="B50" s="112"/>
      <c r="C50" s="112"/>
      <c r="D50" s="114"/>
      <c r="E50" s="112"/>
      <c r="F50" s="53"/>
      <c r="G50" s="114"/>
      <c r="H50" s="112"/>
      <c r="I50" s="112"/>
      <c r="J50" s="114"/>
      <c r="K50" s="114"/>
      <c r="L50" s="114"/>
      <c r="M50" s="114"/>
      <c r="N50" s="112"/>
    </row>
    <row r="51" spans="1:15" s="111" customFormat="1" ht="27" thickBot="1" x14ac:dyDescent="0.25">
      <c r="A51" s="152" t="s">
        <v>34</v>
      </c>
      <c r="B51" s="153"/>
      <c r="C51" s="154"/>
      <c r="D51" s="155"/>
      <c r="E51" s="153"/>
      <c r="F51" s="156"/>
      <c r="G51" s="155"/>
      <c r="H51" s="153"/>
      <c r="I51" s="153"/>
      <c r="J51" s="155"/>
      <c r="K51" s="155"/>
      <c r="L51" s="155"/>
      <c r="M51" s="157" t="s">
        <v>143</v>
      </c>
      <c r="N51" s="158">
        <f>ROUNDUP(N49+(N47*0.035),-3)</f>
        <v>58000</v>
      </c>
    </row>
    <row r="52" spans="1:15" s="48" customFormat="1" ht="15" customHeight="1" thickBot="1" x14ac:dyDescent="0.25">
      <c r="D52" s="52"/>
      <c r="F52" s="53"/>
      <c r="G52" s="52"/>
      <c r="J52" s="52"/>
      <c r="K52" s="52"/>
      <c r="L52" s="52"/>
      <c r="M52" s="52"/>
      <c r="O52" s="56"/>
    </row>
    <row r="53" spans="1:15" s="111" customFormat="1" ht="27" thickBot="1" x14ac:dyDescent="0.25">
      <c r="A53" s="152" t="s">
        <v>34</v>
      </c>
      <c r="B53" s="153"/>
      <c r="C53" s="154"/>
      <c r="D53" s="155"/>
      <c r="E53" s="153"/>
      <c r="F53" s="156"/>
      <c r="G53" s="155"/>
      <c r="H53" s="153"/>
      <c r="I53" s="153"/>
      <c r="J53" s="155"/>
      <c r="K53" s="155"/>
      <c r="L53" s="155"/>
      <c r="M53" s="157" t="s">
        <v>144</v>
      </c>
      <c r="N53" s="158">
        <f>ROUNDUP(N51+(N49*0.035),-3)</f>
        <v>60000</v>
      </c>
    </row>
    <row r="54" spans="1:15" s="48" customFormat="1" ht="15" x14ac:dyDescent="0.2">
      <c r="D54" s="52"/>
      <c r="F54" s="53"/>
      <c r="G54" s="52"/>
      <c r="J54" s="52"/>
      <c r="K54" s="52"/>
      <c r="L54" s="52"/>
      <c r="M54" s="52"/>
      <c r="O54" s="56"/>
    </row>
    <row r="55" spans="1:15" s="48" customFormat="1" ht="15" x14ac:dyDescent="0.2">
      <c r="D55" s="52"/>
      <c r="F55" s="53"/>
      <c r="G55" s="52"/>
      <c r="J55" s="52"/>
      <c r="K55" s="52"/>
      <c r="L55" s="52"/>
      <c r="M55" s="52"/>
      <c r="O55" s="56"/>
    </row>
    <row r="56" spans="1:15" s="48" customFormat="1" ht="15" x14ac:dyDescent="0.2">
      <c r="D56" s="52"/>
      <c r="F56" s="53"/>
      <c r="G56" s="52"/>
      <c r="J56" s="52"/>
      <c r="K56" s="52"/>
      <c r="L56" s="52"/>
      <c r="M56" s="52"/>
      <c r="O56" s="56"/>
    </row>
    <row r="57" spans="1:15" s="48" customFormat="1" ht="15" x14ac:dyDescent="0.2">
      <c r="D57" s="52"/>
      <c r="F57" s="53"/>
      <c r="G57" s="52"/>
      <c r="J57" s="52"/>
      <c r="K57" s="52"/>
      <c r="L57" s="52"/>
      <c r="M57" s="52"/>
      <c r="O57" s="56"/>
    </row>
    <row r="58" spans="1:15" s="48" customFormat="1" ht="15" x14ac:dyDescent="0.2">
      <c r="D58" s="52"/>
      <c r="F58" s="53"/>
      <c r="G58" s="52"/>
      <c r="J58" s="52"/>
      <c r="K58" s="52"/>
      <c r="L58" s="52"/>
      <c r="M58" s="52"/>
      <c r="O58" s="56"/>
    </row>
    <row r="59" spans="1:15" s="48" customFormat="1" ht="15" x14ac:dyDescent="0.2">
      <c r="D59" s="52"/>
      <c r="F59" s="53"/>
      <c r="G59" s="52"/>
      <c r="J59" s="52"/>
      <c r="K59" s="52"/>
      <c r="L59" s="52"/>
      <c r="M59" s="52"/>
      <c r="O59" s="56"/>
    </row>
    <row r="60" spans="1:15" s="48" customFormat="1" ht="15" x14ac:dyDescent="0.2">
      <c r="D60" s="52"/>
      <c r="F60" s="53"/>
      <c r="G60" s="52"/>
      <c r="J60" s="52"/>
      <c r="K60" s="52"/>
      <c r="L60" s="52"/>
      <c r="M60" s="52"/>
      <c r="O60" s="56"/>
    </row>
  </sheetData>
  <mergeCells count="1">
    <mergeCell ref="A5:B5"/>
  </mergeCells>
  <printOptions horizontalCentered="1" verticalCentered="1"/>
  <pageMargins left="0.45" right="0.45" top="0.5" bottom="0.75" header="0.3" footer="0.3"/>
  <pageSetup paperSize="17" scale="56" orientation="landscape" r:id="rId1"/>
  <headerFooter>
    <oddFooter>&amp;L&amp;A&amp;RPage &amp;P</oddFooter>
  </headerFooter>
  <rowBreaks count="1" manualBreakCount="1">
    <brk id="43" max="1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3" sqref="D13"/>
    </sheetView>
  </sheetViews>
  <sheetFormatPr defaultRowHeight="14.25" x14ac:dyDescent="0.2"/>
  <cols>
    <col min="2" max="2" width="15.875" customWidth="1"/>
    <col min="3" max="3" width="22.5" customWidth="1"/>
    <col min="4" max="4" width="29.375" customWidth="1"/>
  </cols>
  <sheetData>
    <row r="1" spans="1:4" ht="15" x14ac:dyDescent="0.25">
      <c r="A1" s="299"/>
      <c r="B1" s="299" t="s">
        <v>236</v>
      </c>
      <c r="C1" s="299" t="s">
        <v>237</v>
      </c>
      <c r="D1" s="299" t="s">
        <v>289</v>
      </c>
    </row>
    <row r="2" spans="1:4" ht="15" x14ac:dyDescent="0.25">
      <c r="A2" s="300" t="s">
        <v>233</v>
      </c>
      <c r="B2" s="39">
        <v>1.8</v>
      </c>
      <c r="C2" s="40">
        <v>2.25</v>
      </c>
      <c r="D2" s="40">
        <v>1.95</v>
      </c>
    </row>
    <row r="3" spans="1:4" ht="15" x14ac:dyDescent="0.25">
      <c r="A3" s="300" t="s">
        <v>234</v>
      </c>
      <c r="B3" s="40">
        <v>1.55</v>
      </c>
      <c r="C3" s="40">
        <v>2.0499999999999998</v>
      </c>
      <c r="D3" s="40">
        <v>1.7</v>
      </c>
    </row>
    <row r="4" spans="1:4" ht="15" x14ac:dyDescent="0.25">
      <c r="A4" s="300" t="s">
        <v>235</v>
      </c>
      <c r="B4" s="40">
        <v>1.5</v>
      </c>
      <c r="C4" s="40">
        <v>2</v>
      </c>
      <c r="D4" s="40">
        <v>1.65</v>
      </c>
    </row>
    <row r="7" spans="1:4" hidden="1" x14ac:dyDescent="0.2">
      <c r="A7" t="s">
        <v>236</v>
      </c>
    </row>
    <row r="8" spans="1:4" hidden="1" x14ac:dyDescent="0.2">
      <c r="A8" t="s">
        <v>237</v>
      </c>
    </row>
    <row r="9" spans="1:4" hidden="1" x14ac:dyDescent="0.2">
      <c r="A9" t="s">
        <v>238</v>
      </c>
    </row>
    <row r="10" spans="1:4" hidden="1" x14ac:dyDescent="0.2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Instructions</vt:lpstr>
      <vt:lpstr>Fleet Data Entry</vt:lpstr>
      <vt:lpstr>Facility Data Entry</vt:lpstr>
      <vt:lpstr>Bus Parking Scenarios</vt:lpstr>
      <vt:lpstr>Macro Program Summary</vt:lpstr>
      <vt:lpstr>Budget Worksheet</vt:lpstr>
      <vt:lpstr>List Data</vt:lpstr>
      <vt:lpstr>'Budget Worksheet'!Print_Area</vt:lpstr>
      <vt:lpstr>'Macro Program Summary'!Print_Area</vt:lpstr>
      <vt:lpstr>'Facility Data Entry'!Print_Titles</vt:lpstr>
      <vt:lpstr>'Macro Program Summary'!Print_Titles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2015-10-22T15:45:34Z</dcterms:created>
  <dcterms:modified xsi:type="dcterms:W3CDTF">2018-02-08T19:45:00Z</dcterms:modified>
</cp:coreProperties>
</file>